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5955" yWindow="65521" windowWidth="5985" windowHeight="6540" tabRatio="912" firstSheet="2" activeTab="0"/>
  </bookViews>
  <sheets>
    <sheet name="ANASAYFA" sheetId="1" r:id="rId1"/>
    <sheet name="C 1 Faktörü" sheetId="2" r:id="rId2"/>
    <sheet name="C 2 Faktörü" sheetId="3" r:id="rId3"/>
    <sheet name="C 3 Faktörü" sheetId="4" r:id="rId4"/>
    <sheet name="C 4 Faktörü" sheetId="5" r:id="rId5"/>
    <sheet name="C 5 Faktörü" sheetId="6" r:id="rId6"/>
    <sheet name="ozet" sheetId="7" r:id="rId7"/>
    <sheet name="YAZDIR" sheetId="8" r:id="rId8"/>
    <sheet name="Formüller" sheetId="9" r:id="rId9"/>
    <sheet name="METOD" sheetId="10" r:id="rId10"/>
    <sheet name="koruma" sheetId="11" r:id="rId11"/>
    <sheet name="faraday" sheetId="12" r:id="rId12"/>
    <sheet name="franklin" sheetId="13" r:id="rId13"/>
    <sheet name="franklinson" sheetId="14" r:id="rId14"/>
    <sheet name="SONUÇ" sheetId="15" r:id="rId15"/>
    <sheet name="Level1 + özel" sheetId="16" r:id="rId16"/>
    <sheet name="Level1" sheetId="17" r:id="rId17"/>
    <sheet name="Level2" sheetId="18" r:id="rId18"/>
    <sheet name="Level3" sheetId="19" r:id="rId19"/>
    <sheet name="Level4" sheetId="20" r:id="rId20"/>
    <sheet name="Sayfa8" sheetId="21" r:id="rId21"/>
  </sheets>
  <definedNames>
    <definedName name="_xlnm.Print_Area" localSheetId="6">'ozet'!$C$1:$G$24</definedName>
    <definedName name="_xlnm.Print_Area" localSheetId="7">'YAZDIR'!$B$1:$K$48</definedName>
  </definedNames>
  <calcPr fullCalcOnLoad="1"/>
</workbook>
</file>

<file path=xl/sharedStrings.xml><?xml version="1.0" encoding="utf-8"?>
<sst xmlns="http://schemas.openxmlformats.org/spreadsheetml/2006/main" count="443" uniqueCount="203">
  <si>
    <t>C 1 Faktörü</t>
  </si>
  <si>
    <t>Yapı Aynı Yükseklikteki yapılar</t>
  </si>
  <si>
    <t>yapılar Arasında İse</t>
  </si>
  <si>
    <t>Yapı Daha Yüksek Yapılar Arasında İse</t>
  </si>
  <si>
    <t>Yapı Tepe Üzerinde En Yüksek</t>
  </si>
  <si>
    <t>Noktada İse</t>
  </si>
  <si>
    <t>C 2 Faktörü</t>
  </si>
  <si>
    <t>Metal</t>
  </si>
  <si>
    <t>Kiremit</t>
  </si>
  <si>
    <t>Tutuşabilir</t>
  </si>
  <si>
    <t>C 3 Faktörü</t>
  </si>
  <si>
    <t>Değersiz Yanıcı Olmayan</t>
  </si>
  <si>
    <t>Normal Değer Yanıcı</t>
  </si>
  <si>
    <t>Kıymetli Alev Alıcı</t>
  </si>
  <si>
    <t>Çok Değerli</t>
  </si>
  <si>
    <t>Yeri Doldurulmaz</t>
  </si>
  <si>
    <t>Parlayıcı Patlayıcı</t>
  </si>
  <si>
    <t>C 4 Faktörü</t>
  </si>
  <si>
    <t>Personelsiz Bina</t>
  </si>
  <si>
    <t>Normal Kalabalıkta Normal Bina</t>
  </si>
  <si>
    <t>Panik Rizikolu Tahliye Zorluğu</t>
  </si>
  <si>
    <t>C 5 Faktörü</t>
  </si>
  <si>
    <t xml:space="preserve">Sürekli Kullanım Yok </t>
  </si>
  <si>
    <t>Çevrede Değersiz</t>
  </si>
  <si>
    <t xml:space="preserve">Sürekli Kullanım </t>
  </si>
  <si>
    <t>Çevrede Değerli</t>
  </si>
  <si>
    <t>Ae   L   W    6    H   L   W     9   Pi   H2</t>
  </si>
  <si>
    <t xml:space="preserve">        Ae=</t>
  </si>
  <si>
    <t>L   W=</t>
  </si>
  <si>
    <t>Nd    Ng   Ae   C1    1000000</t>
  </si>
  <si>
    <t xml:space="preserve">        Nd=</t>
  </si>
  <si>
    <t>H   H=</t>
  </si>
  <si>
    <t>Ng   2</t>
  </si>
  <si>
    <t xml:space="preserve">        Ng=</t>
  </si>
  <si>
    <t>Nc  Nd=</t>
  </si>
  <si>
    <t>Nc   5,5   1000   C</t>
  </si>
  <si>
    <t xml:space="preserve">        Nc=</t>
  </si>
  <si>
    <t>C1=</t>
  </si>
  <si>
    <t>C   C2    C3    C4    C5</t>
  </si>
  <si>
    <t xml:space="preserve">         C=</t>
  </si>
  <si>
    <t>C2=</t>
  </si>
  <si>
    <t>E    1   Nc   Nd</t>
  </si>
  <si>
    <t xml:space="preserve">         E=</t>
  </si>
  <si>
    <t>C3=</t>
  </si>
  <si>
    <t xml:space="preserve">          L=</t>
  </si>
  <si>
    <t>C4=</t>
  </si>
  <si>
    <t xml:space="preserve">         W=</t>
  </si>
  <si>
    <t>C5=</t>
  </si>
  <si>
    <t xml:space="preserve">          H=</t>
  </si>
  <si>
    <t xml:space="preserve">         Pi=</t>
  </si>
  <si>
    <t xml:space="preserve">        H</t>
  </si>
  <si>
    <t xml:space="preserve">      W</t>
  </si>
  <si>
    <t xml:space="preserve">               L</t>
  </si>
  <si>
    <t>Veya Ağaçlar Vaya DAHA Yüksek</t>
  </si>
  <si>
    <t xml:space="preserve">Yapı  En Yakın Bina Ve Bina </t>
  </si>
  <si>
    <t>3 H Mesafede İse</t>
  </si>
  <si>
    <t>Çatı/Yapı</t>
  </si>
  <si>
    <t>Direk</t>
  </si>
  <si>
    <t>SE 6  L  15 m</t>
  </si>
  <si>
    <t>SE 9  L  30 m</t>
  </si>
  <si>
    <t>SE 12  L  45 m</t>
  </si>
  <si>
    <t>SE 15  L  60 m</t>
  </si>
  <si>
    <t>İnsansız Bina</t>
  </si>
  <si>
    <t>Yapı  /   Çatı</t>
  </si>
  <si>
    <t>Metal Çatılar</t>
  </si>
  <si>
    <t>Kiremit Çatılar</t>
  </si>
  <si>
    <t>Tutuşabilir Çatılar</t>
  </si>
  <si>
    <t>Metal Yapı</t>
  </si>
  <si>
    <t>Tuğla,Beton yapı</t>
  </si>
  <si>
    <t>Tutuşabilir Yapı</t>
  </si>
  <si>
    <t>Panik Rizikolu ve TahliyeZorluğu olan binalar</t>
  </si>
  <si>
    <t>Sürekli Kullanım Yok Çevrede Değersiz</t>
  </si>
  <si>
    <t>Sürekli Kullanım Çevrede Değersiz</t>
  </si>
  <si>
    <t>Yapının Konumu</t>
  </si>
  <si>
    <t>Çok Değerli Yeri Doldurulmaz Parlayıcı Patlayıcı</t>
  </si>
  <si>
    <t>LEVEL 2</t>
  </si>
  <si>
    <t>LEVEL 3</t>
  </si>
  <si>
    <t>LEVEL 1 + ÖZEL KORUMA</t>
  </si>
  <si>
    <t>KORUNACAK EN</t>
  </si>
  <si>
    <t>UZAK MESAFE İLE</t>
  </si>
  <si>
    <t>PARATONER</t>
  </si>
  <si>
    <t>ARASINDAKİ</t>
  </si>
  <si>
    <t>UZAKLIK</t>
  </si>
  <si>
    <t>YILDIRIMDAN</t>
  </si>
  <si>
    <t>E=</t>
  </si>
  <si>
    <t>SONUÇ</t>
  </si>
  <si>
    <t>1 DEN FAZLA PARATONERE İHTİYAÇ VAR</t>
  </si>
  <si>
    <t>LEVEL 1</t>
  </si>
  <si>
    <t>E =</t>
  </si>
  <si>
    <t xml:space="preserve">   KORUMA  GEREKLİLİĞİ VE KORUMA SEVİYESİ TAYİNİ</t>
  </si>
  <si>
    <t>FORMÜLLER</t>
  </si>
  <si>
    <t>DEĞERLER</t>
  </si>
  <si>
    <t>ETKİLİ EŞDEĞER ALAN:</t>
  </si>
  <si>
    <t>L=</t>
  </si>
  <si>
    <t>W=</t>
  </si>
  <si>
    <t>Ae=</t>
  </si>
  <si>
    <t>(Dörtgen alanlar için)</t>
  </si>
  <si>
    <t>H=</t>
  </si>
  <si>
    <t>TESİS İÇİN BEKLENEN YILDIRIM DARBE SAYISI</t>
  </si>
  <si>
    <t>Nd=</t>
  </si>
  <si>
    <t>TESİS İÇİN ONAYLI YILDIRIM DARBE SAYISI</t>
  </si>
  <si>
    <t>Nc=</t>
  </si>
  <si>
    <t xml:space="preserve">EĞER Nd&gt;Nc İSE   KORUMA GEREKLİDİR     Bu durumda: </t>
  </si>
  <si>
    <t>Etkinlik,  E=1-Nc/Nd hesaplanan değeri KORUMA SEVİYESİNİ belirler.</t>
  </si>
  <si>
    <t>HESAPLANAN ETKİNLİK</t>
  </si>
  <si>
    <t>KORUMA SEVİYELERİ</t>
  </si>
  <si>
    <t>E</t>
  </si>
  <si>
    <t>SEVİYE 1+EK ÖNLEM</t>
  </si>
  <si>
    <t>SEVİYE 1</t>
  </si>
  <si>
    <t>SEVİYE 2</t>
  </si>
  <si>
    <t>SEVİYE 3</t>
  </si>
  <si>
    <t>Ngmax=2 TÜRKİYE İÇİN YILDIRIM HARİTASINDAN HESAPLANMITIR.</t>
  </si>
  <si>
    <r>
      <t>Ae=LW+6H(L+W)+9</t>
    </r>
    <r>
      <rPr>
        <b/>
        <sz val="10"/>
        <rFont val="Symbol"/>
        <family val="1"/>
      </rPr>
      <t>p</t>
    </r>
    <r>
      <rPr>
        <b/>
        <sz val="10"/>
        <rFont val="Arial Tur"/>
        <family val="2"/>
      </rPr>
      <t>H</t>
    </r>
    <r>
      <rPr>
        <b/>
        <vertAlign val="superscript"/>
        <sz val="8"/>
        <rFont val="Arial Tur"/>
        <family val="2"/>
      </rPr>
      <t>2</t>
    </r>
  </si>
  <si>
    <r>
      <t>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</si>
  <si>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Nd=Ngmax.Ae.C1.10</t>
    </r>
    <r>
      <rPr>
        <b/>
        <vertAlign val="superscript"/>
        <sz val="10"/>
        <rFont val="Arial"/>
        <family val="2"/>
      </rPr>
      <t>-6</t>
    </r>
  </si>
  <si>
    <r>
      <t>EĞER Nd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>Nc İSE      KORUMA İSTEĞE BIRAKILIR</t>
    </r>
  </si>
  <si>
    <t xml:space="preserve">  </t>
  </si>
  <si>
    <t>LEVEL 4</t>
  </si>
  <si>
    <t>METOD SEÇİMİ</t>
  </si>
  <si>
    <t>FARADAY KAFESİ</t>
  </si>
  <si>
    <t>FRANKLİN ÇUBUĞU</t>
  </si>
  <si>
    <t>KORUMA SEVİYESİ</t>
  </si>
  <si>
    <t>I</t>
  </si>
  <si>
    <t>II</t>
  </si>
  <si>
    <t>III</t>
  </si>
  <si>
    <t>IV</t>
  </si>
  <si>
    <t>5 X 5</t>
  </si>
  <si>
    <t>10 X 10</t>
  </si>
  <si>
    <t>15 X 15</t>
  </si>
  <si>
    <t>20 X 20</t>
  </si>
  <si>
    <t>h (m)</t>
  </si>
  <si>
    <t>R (m)</t>
  </si>
  <si>
    <t>a</t>
  </si>
  <si>
    <t>*</t>
  </si>
  <si>
    <t>SE 6</t>
  </si>
  <si>
    <t>SE 9</t>
  </si>
  <si>
    <t>SE 12</t>
  </si>
  <si>
    <t>SE 15</t>
  </si>
  <si>
    <t>Yakalama ucunun toprağa göre yüksekliği h(m)</t>
  </si>
  <si>
    <t>RADSAN A.Ş.</t>
  </si>
  <si>
    <t>SEVİYE 4</t>
  </si>
  <si>
    <t xml:space="preserve">           E &gt; 0,98</t>
  </si>
  <si>
    <r>
      <t xml:space="preserve"> 0,95 &lt;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0,98</t>
    </r>
  </si>
  <si>
    <r>
      <t xml:space="preserve"> 0,90 &lt;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0,95</t>
    </r>
  </si>
  <si>
    <r>
      <t xml:space="preserve"> 0,80 &lt;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0,90</t>
    </r>
  </si>
  <si>
    <r>
      <t xml:space="preserve">     0 &lt;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0,80</t>
    </r>
  </si>
  <si>
    <t>KORUMA İSTEĞE BAĞLIDIR</t>
  </si>
  <si>
    <t>Ngmax=</t>
  </si>
  <si>
    <r>
      <t xml:space="preserve">          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</t>
    </r>
  </si>
  <si>
    <t>C  =</t>
  </si>
  <si>
    <t>E.S.E.</t>
  </si>
  <si>
    <t>level 2 ve 3 aynı olacak</t>
  </si>
  <si>
    <t>E.S.E. Aktif Paratoner</t>
  </si>
  <si>
    <t>Faraday Kafesi</t>
  </si>
  <si>
    <t>Franklin Çubuğu</t>
  </si>
  <si>
    <t xml:space="preserve"> </t>
  </si>
  <si>
    <t>Yakalama ucunun toprağa göre yüksekliği   h(m)</t>
  </si>
  <si>
    <r>
      <t>KORUMA AÇISI                        (</t>
    </r>
    <r>
      <rPr>
        <b/>
        <sz val="14"/>
        <color indexed="9"/>
        <rFont val="Symbol"/>
        <family val="1"/>
      </rPr>
      <t>a</t>
    </r>
    <r>
      <rPr>
        <b/>
        <sz val="14"/>
        <color indexed="9"/>
        <rFont val="Arial"/>
        <family val="2"/>
      </rPr>
      <t>)</t>
    </r>
  </si>
  <si>
    <t>KORUMA YARIÇAPI                 ( r)</t>
  </si>
  <si>
    <t>BU YÜKSEKLİK DEĞERİ İLE BU METOD KULLANILAMAZ</t>
  </si>
  <si>
    <t>ÖZET TABLO</t>
  </si>
  <si>
    <t>BİNANIN</t>
  </si>
  <si>
    <t>FAKTÖR</t>
  </si>
  <si>
    <t>C1</t>
  </si>
  <si>
    <t>C2</t>
  </si>
  <si>
    <t>C3</t>
  </si>
  <si>
    <t>C4</t>
  </si>
  <si>
    <t>C5</t>
  </si>
  <si>
    <t>İNİŞ İLETKEN ARALIĞI</t>
  </si>
  <si>
    <t>KAFES ARALIĞI</t>
  </si>
  <si>
    <t>FARADAY</t>
  </si>
  <si>
    <t>KORUMA AÇISI</t>
  </si>
  <si>
    <t>KORUMA YARIÇAPI</t>
  </si>
  <si>
    <t>FRANKLİN</t>
  </si>
  <si>
    <t>E.S.E</t>
  </si>
  <si>
    <t>YAKALAMA UCUNUN TOPRAĞA GÖRE YÜKSEKLİĞİ</t>
  </si>
  <si>
    <t>Koruma mesafesi</t>
  </si>
  <si>
    <r>
      <t>Nc=5,5.10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/C    C=C2.C3.C4.C5</t>
    </r>
  </si>
  <si>
    <t>program için gerekli</t>
  </si>
  <si>
    <t>C=C2.C3.C4.C5</t>
  </si>
  <si>
    <t>Nc / Nd=</t>
  </si>
  <si>
    <t>H*  H=</t>
  </si>
  <si>
    <t xml:space="preserve">E=1-(Nc/Nd) </t>
  </si>
  <si>
    <t xml:space="preserve">BOYU                 W                                                                           </t>
  </si>
  <si>
    <t>ENİ                      L</t>
  </si>
  <si>
    <t>YÜKSEKLİĞİ     H</t>
  </si>
  <si>
    <r>
      <t>Nc=5,5.10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/C</t>
    </r>
  </si>
  <si>
    <r>
      <t>Ae=LW+6H(L+W)+9</t>
    </r>
    <r>
      <rPr>
        <b/>
        <sz val="10"/>
        <rFont val="Symbol"/>
        <family val="1"/>
      </rPr>
      <t>p</t>
    </r>
    <r>
      <rPr>
        <b/>
        <sz val="10"/>
        <rFont val="Arial Tur"/>
        <family val="2"/>
      </rPr>
      <t>H</t>
    </r>
    <r>
      <rPr>
        <b/>
        <vertAlign val="superscript"/>
        <sz val="10"/>
        <rFont val="Arial Tur"/>
        <family val="2"/>
      </rPr>
      <t>2</t>
    </r>
  </si>
  <si>
    <r>
      <t>Nd=Ngmax.Ae.C1.10</t>
    </r>
    <r>
      <rPr>
        <b/>
        <vertAlign val="superscript"/>
        <sz val="10"/>
        <rFont val="Arial"/>
        <family val="2"/>
      </rPr>
      <t xml:space="preserve">-6 </t>
    </r>
  </si>
  <si>
    <t>Etkili eşdeğer alan</t>
  </si>
  <si>
    <t>Etkinlik</t>
  </si>
  <si>
    <t>Onaylı yıldırım darbe sayısı</t>
  </si>
  <si>
    <t>Ngmax=2 TÜRKİYE İÇİN YILDIRIM HARİTASINDAN HESAPLANMIŞTIR.</t>
  </si>
  <si>
    <t xml:space="preserve">             E &gt; 0,98</t>
  </si>
  <si>
    <r>
      <t xml:space="preserve">       0 &lt;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0,80</t>
    </r>
  </si>
  <si>
    <t>HESAPLANAN  ETKİNLİK</t>
  </si>
  <si>
    <r>
      <t xml:space="preserve">          &lt; 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0</t>
    </r>
  </si>
  <si>
    <t>Yapının özellikleri</t>
  </si>
  <si>
    <t>Yapı Doluluğu</t>
  </si>
  <si>
    <t>Yapının çevre önemi</t>
  </si>
  <si>
    <t>Beklenen yıldırım darbe sayısı</t>
  </si>
  <si>
    <t>Yapısal özellikler</t>
  </si>
  <si>
    <t>Marmaris Kenan Evren Kolleji Yıldırımlık Koruma Seviyesil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</si>
</sst>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&quot;Evet&quot;;&quot;Evet&quot;;&quot;Hayır&quot;"/>
    <numFmt numFmtId="171" formatCode="&quot;Doğru&quot;;&quot;Doğru&quot;;&quot;Yanlış&quot;"/>
    <numFmt numFmtId="172" formatCode="&quot;Açık&quot;;&quot;Açık&quot;;&quot;Kapalı&quot;"/>
    <numFmt numFmtId="173" formatCode="#,##0.000\ &quot;TL&quot;"/>
    <numFmt numFmtId="174" formatCode="#,##0.000"/>
    <numFmt numFmtId="175" formatCode="#,##0\ \m\t;\-#,##0\ \m\t"/>
    <numFmt numFmtId="176" formatCode="#,##0\ \m;\-#,##0\ \m"/>
    <numFmt numFmtId="177" formatCode="#,##0\ \o;\-#,##0\ \o"/>
    <numFmt numFmtId="178" formatCode="#,##0.00\ \m;\-#,##0.00\ \m"/>
    <numFmt numFmtId="179" formatCode="#,##0.0\ \m\t;\-#,##0.0\ \m\t"/>
    <numFmt numFmtId="180" formatCode="#,###\ \m\t;\-#,###\ \m\t"/>
    <numFmt numFmtId="181" formatCode="#,##0\ \ \o;\-#,##0\ \ \o"/>
    <numFmt numFmtId="182" formatCode="#,##0\ \ \ \o;\-#,##0\ \ \ \o"/>
  </numFmts>
  <fonts count="95">
    <font>
      <sz val="10"/>
      <name val="Arial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10"/>
      <color indexed="10"/>
      <name val="Arial Tur"/>
      <family val="2"/>
    </font>
    <font>
      <sz val="10"/>
      <color indexed="10"/>
      <name val="Arial Tur"/>
      <family val="2"/>
    </font>
    <font>
      <sz val="10"/>
      <name val="Arial Tur"/>
      <family val="2"/>
    </font>
    <font>
      <sz val="18"/>
      <name val="Arial Tur"/>
      <family val="2"/>
    </font>
    <font>
      <sz val="20"/>
      <name val="Arial Tur"/>
      <family val="2"/>
    </font>
    <font>
      <b/>
      <sz val="20"/>
      <name val="Arial Tur"/>
      <family val="2"/>
    </font>
    <font>
      <sz val="22"/>
      <name val="Arial Tur"/>
      <family val="2"/>
    </font>
    <font>
      <b/>
      <sz val="22"/>
      <name val="Arial Tur"/>
      <family val="2"/>
    </font>
    <font>
      <sz val="10"/>
      <color indexed="12"/>
      <name val="Arial Tur"/>
      <family val="2"/>
    </font>
    <font>
      <b/>
      <sz val="16"/>
      <name val="Arial Tur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 Tur"/>
      <family val="2"/>
    </font>
    <font>
      <b/>
      <sz val="11"/>
      <name val="Arial"/>
      <family val="2"/>
    </font>
    <font>
      <sz val="10"/>
      <name val="Wingdings 3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 Tur"/>
      <family val="2"/>
    </font>
    <font>
      <b/>
      <sz val="14"/>
      <color indexed="9"/>
      <name val="Arial"/>
      <family val="2"/>
    </font>
    <font>
      <b/>
      <sz val="12"/>
      <color indexed="10"/>
      <name val="Arial Tur"/>
      <family val="2"/>
    </font>
    <font>
      <sz val="12"/>
      <name val="Arial Tur"/>
      <family val="2"/>
    </font>
    <font>
      <b/>
      <sz val="12"/>
      <color indexed="17"/>
      <name val="Arial Tur"/>
      <family val="2"/>
    </font>
    <font>
      <b/>
      <sz val="10"/>
      <color indexed="15"/>
      <name val="Arial Tur"/>
      <family val="2"/>
    </font>
    <font>
      <b/>
      <sz val="10"/>
      <color indexed="42"/>
      <name val="Arial Tur"/>
      <family val="2"/>
    </font>
    <font>
      <b/>
      <sz val="10"/>
      <color indexed="45"/>
      <name val="Arial Tur"/>
      <family val="2"/>
    </font>
    <font>
      <b/>
      <sz val="10"/>
      <color indexed="62"/>
      <name val="Arial Tur"/>
      <family val="2"/>
    </font>
    <font>
      <b/>
      <sz val="11"/>
      <color indexed="42"/>
      <name val="Arial Tur"/>
      <family val="2"/>
    </font>
    <font>
      <b/>
      <sz val="11"/>
      <color indexed="15"/>
      <name val="Arial Tur"/>
      <family val="2"/>
    </font>
    <font>
      <b/>
      <sz val="11"/>
      <color indexed="62"/>
      <name val="Arial Tur"/>
      <family val="2"/>
    </font>
    <font>
      <b/>
      <sz val="11"/>
      <color indexed="45"/>
      <name val="Arial Tur"/>
      <family val="2"/>
    </font>
    <font>
      <b/>
      <sz val="11"/>
      <color indexed="44"/>
      <name val="Arial Tur"/>
      <family val="2"/>
    </font>
    <font>
      <sz val="11"/>
      <name val="Arial"/>
      <family val="0"/>
    </font>
    <font>
      <sz val="11"/>
      <name val="Arial Tur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u val="single"/>
      <sz val="10"/>
      <color indexed="8"/>
      <name val="Arial"/>
      <family val="0"/>
    </font>
    <font>
      <b/>
      <sz val="10"/>
      <name val="Symbol"/>
      <family val="1"/>
    </font>
    <font>
      <b/>
      <vertAlign val="superscript"/>
      <sz val="8"/>
      <name val="Arial Tur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4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52"/>
      <name val="Arial"/>
      <family val="2"/>
    </font>
    <font>
      <b/>
      <sz val="11"/>
      <color indexed="10"/>
      <name val="Arial Tur"/>
      <family val="2"/>
    </font>
    <font>
      <sz val="11"/>
      <color indexed="10"/>
      <name val="Arial Tur"/>
      <family val="2"/>
    </font>
    <font>
      <sz val="11"/>
      <color indexed="10"/>
      <name val="Arial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 Tur"/>
      <family val="1"/>
    </font>
    <font>
      <b/>
      <sz val="14"/>
      <color indexed="9"/>
      <name val="Times New Roman Tur"/>
      <family val="1"/>
    </font>
    <font>
      <b/>
      <sz val="16"/>
      <color indexed="11"/>
      <name val="Arial"/>
      <family val="2"/>
    </font>
    <font>
      <b/>
      <sz val="12"/>
      <color indexed="41"/>
      <name val="Arial"/>
      <family val="2"/>
    </font>
    <font>
      <b/>
      <sz val="16"/>
      <color indexed="9"/>
      <name val="Arial"/>
      <family val="2"/>
    </font>
    <font>
      <b/>
      <sz val="10"/>
      <color indexed="44"/>
      <name val="Arial"/>
      <family val="2"/>
    </font>
    <font>
      <b/>
      <sz val="12"/>
      <name val="Century"/>
      <family val="1"/>
    </font>
    <font>
      <b/>
      <sz val="14"/>
      <color indexed="47"/>
      <name val="Arial"/>
      <family val="2"/>
    </font>
    <font>
      <b/>
      <sz val="12"/>
      <color indexed="9"/>
      <name val="Century"/>
      <family val="1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3.5"/>
      <name val="Symbol"/>
      <family val="1"/>
    </font>
    <font>
      <b/>
      <sz val="12"/>
      <color indexed="8"/>
      <name val="Arial"/>
      <family val="2"/>
    </font>
    <font>
      <b/>
      <sz val="12"/>
      <color indexed="8"/>
      <name val="Century"/>
      <family val="1"/>
    </font>
    <font>
      <sz val="12"/>
      <color indexed="8"/>
      <name val="Arial"/>
      <family val="0"/>
    </font>
    <font>
      <b/>
      <sz val="14"/>
      <color indexed="11"/>
      <name val="Arial"/>
      <family val="2"/>
    </font>
    <font>
      <b/>
      <sz val="16"/>
      <color indexed="41"/>
      <name val="Arial"/>
      <family val="2"/>
    </font>
    <font>
      <sz val="10"/>
      <color indexed="54"/>
      <name val="Arial"/>
      <family val="2"/>
    </font>
    <font>
      <b/>
      <sz val="14"/>
      <color indexed="9"/>
      <name val="Symbol"/>
      <family val="1"/>
    </font>
    <font>
      <sz val="10"/>
      <color indexed="51"/>
      <name val="Arial"/>
      <family val="2"/>
    </font>
    <font>
      <b/>
      <sz val="14"/>
      <color indexed="43"/>
      <name val="Arial"/>
      <family val="2"/>
    </font>
    <font>
      <b/>
      <u val="single"/>
      <sz val="10"/>
      <color indexed="9"/>
      <name val="Arial"/>
      <family val="2"/>
    </font>
    <font>
      <sz val="10"/>
      <color indexed="44"/>
      <name val="Arial"/>
      <family val="2"/>
    </font>
    <font>
      <sz val="16"/>
      <color indexed="9"/>
      <name val="Trebuchet MS"/>
      <family val="2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43"/>
      <name val="Arial"/>
      <family val="2"/>
    </font>
    <font>
      <sz val="16"/>
      <color indexed="13"/>
      <name val="Garamond"/>
      <family val="1"/>
    </font>
    <font>
      <b/>
      <i/>
      <sz val="9"/>
      <color indexed="9"/>
      <name val="Arial"/>
      <family val="0"/>
    </font>
    <font>
      <b/>
      <vertAlign val="superscript"/>
      <sz val="10"/>
      <name val="Arial Tur"/>
      <family val="2"/>
    </font>
    <font>
      <b/>
      <i/>
      <sz val="10"/>
      <color indexed="9"/>
      <name val="Arial"/>
      <family val="2"/>
    </font>
    <font>
      <b/>
      <sz val="11"/>
      <color indexed="13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medium"/>
      <right style="thin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 style="medium">
        <color indexed="23"/>
      </left>
      <right>
        <color indexed="63"/>
      </right>
      <top style="medium">
        <color indexed="2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/>
    </border>
    <border>
      <left>
        <color indexed="63"/>
      </left>
      <right style="medium">
        <color indexed="23"/>
      </right>
      <top style="medium">
        <color indexed="23"/>
      </top>
      <bottom style="medium"/>
    </border>
    <border>
      <left style="medium">
        <color indexed="2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15"/>
      </top>
      <bottom style="medium">
        <color indexed="23"/>
      </bottom>
    </border>
    <border>
      <left style="thick">
        <color indexed="21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0" xfId="0" applyFill="1" applyAlignment="1">
      <alignment/>
    </xf>
    <xf numFmtId="0" fontId="18" fillId="4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" borderId="1" xfId="0" applyFill="1" applyBorder="1" applyAlignment="1">
      <alignment/>
    </xf>
    <xf numFmtId="0" fontId="24" fillId="5" borderId="6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13" fillId="2" borderId="6" xfId="0" applyFont="1" applyFill="1" applyBorder="1" applyAlignment="1">
      <alignment/>
    </xf>
    <xf numFmtId="0" fontId="25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13" xfId="0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30" fillId="11" borderId="17" xfId="0" applyFont="1" applyFill="1" applyBorder="1" applyAlignment="1">
      <alignment/>
    </xf>
    <xf numFmtId="0" fontId="30" fillId="11" borderId="15" xfId="0" applyFont="1" applyFill="1" applyBorder="1" applyAlignment="1">
      <alignment/>
    </xf>
    <xf numFmtId="0" fontId="31" fillId="11" borderId="16" xfId="0" applyFont="1" applyFill="1" applyBorder="1" applyAlignment="1">
      <alignment/>
    </xf>
    <xf numFmtId="0" fontId="31" fillId="11" borderId="17" xfId="0" applyFont="1" applyFill="1" applyBorder="1" applyAlignment="1">
      <alignment/>
    </xf>
    <xf numFmtId="0" fontId="31" fillId="11" borderId="15" xfId="0" applyFont="1" applyFill="1" applyBorder="1" applyAlignment="1">
      <alignment/>
    </xf>
    <xf numFmtId="0" fontId="32" fillId="11" borderId="17" xfId="0" applyFont="1" applyFill="1" applyBorder="1" applyAlignment="1">
      <alignment/>
    </xf>
    <xf numFmtId="0" fontId="32" fillId="11" borderId="15" xfId="0" applyFont="1" applyFill="1" applyBorder="1" applyAlignment="1">
      <alignment/>
    </xf>
    <xf numFmtId="0" fontId="33" fillId="11" borderId="16" xfId="0" applyFont="1" applyFill="1" applyBorder="1" applyAlignment="1">
      <alignment/>
    </xf>
    <xf numFmtId="0" fontId="33" fillId="11" borderId="17" xfId="0" applyFont="1" applyFill="1" applyBorder="1" applyAlignment="1">
      <alignment/>
    </xf>
    <xf numFmtId="0" fontId="33" fillId="11" borderId="15" xfId="0" applyFont="1" applyFill="1" applyBorder="1" applyAlignment="1">
      <alignment/>
    </xf>
    <xf numFmtId="0" fontId="34" fillId="11" borderId="16" xfId="0" applyFont="1" applyFill="1" applyBorder="1" applyAlignment="1">
      <alignment/>
    </xf>
    <xf numFmtId="0" fontId="35" fillId="11" borderId="17" xfId="0" applyFont="1" applyFill="1" applyBorder="1" applyAlignment="1">
      <alignment/>
    </xf>
    <xf numFmtId="0" fontId="35" fillId="11" borderId="15" xfId="0" applyFont="1" applyFill="1" applyBorder="1" applyAlignment="1">
      <alignment/>
    </xf>
    <xf numFmtId="0" fontId="36" fillId="11" borderId="16" xfId="0" applyFont="1" applyFill="1" applyBorder="1" applyAlignment="1">
      <alignment/>
    </xf>
    <xf numFmtId="0" fontId="36" fillId="11" borderId="17" xfId="0" applyFont="1" applyFill="1" applyBorder="1" applyAlignment="1">
      <alignment/>
    </xf>
    <xf numFmtId="0" fontId="36" fillId="11" borderId="15" xfId="0" applyFont="1" applyFill="1" applyBorder="1" applyAlignment="1">
      <alignment/>
    </xf>
    <xf numFmtId="0" fontId="34" fillId="11" borderId="17" xfId="0" applyFont="1" applyFill="1" applyBorder="1" applyAlignment="1">
      <alignment/>
    </xf>
    <xf numFmtId="0" fontId="34" fillId="11" borderId="15" xfId="0" applyFont="1" applyFill="1" applyBorder="1" applyAlignment="1">
      <alignment/>
    </xf>
    <xf numFmtId="0" fontId="37" fillId="11" borderId="17" xfId="0" applyFont="1" applyFill="1" applyBorder="1" applyAlignment="1">
      <alignment/>
    </xf>
    <xf numFmtId="0" fontId="37" fillId="11" borderId="15" xfId="0" applyFont="1" applyFill="1" applyBorder="1" applyAlignment="1">
      <alignment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38" fillId="11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shrinkToFit="1"/>
    </xf>
    <xf numFmtId="0" fontId="16" fillId="0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23" fillId="13" borderId="1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9" xfId="0" applyFill="1" applyBorder="1" applyAlignment="1">
      <alignment/>
    </xf>
    <xf numFmtId="0" fontId="0" fillId="14" borderId="20" xfId="0" applyFill="1" applyBorder="1" applyAlignment="1">
      <alignment/>
    </xf>
    <xf numFmtId="0" fontId="0" fillId="14" borderId="21" xfId="0" applyFill="1" applyBorder="1" applyAlignment="1">
      <alignment/>
    </xf>
    <xf numFmtId="0" fontId="0" fillId="14" borderId="22" xfId="0" applyFill="1" applyBorder="1" applyAlignment="1">
      <alignment/>
    </xf>
    <xf numFmtId="0" fontId="0" fillId="14" borderId="23" xfId="0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25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26" xfId="0" applyFill="1" applyBorder="1" applyAlignment="1">
      <alignment/>
    </xf>
    <xf numFmtId="0" fontId="0" fillId="14" borderId="27" xfId="0" applyFill="1" applyBorder="1" applyAlignment="1">
      <alignment/>
    </xf>
    <xf numFmtId="0" fontId="0" fillId="14" borderId="28" xfId="0" applyFill="1" applyBorder="1" applyAlignment="1">
      <alignment/>
    </xf>
    <xf numFmtId="0" fontId="0" fillId="14" borderId="29" xfId="0" applyFont="1" applyFill="1" applyBorder="1" applyAlignment="1">
      <alignment/>
    </xf>
    <xf numFmtId="0" fontId="0" fillId="14" borderId="30" xfId="0" applyFont="1" applyFill="1" applyBorder="1" applyAlignment="1">
      <alignment/>
    </xf>
    <xf numFmtId="0" fontId="0" fillId="14" borderId="31" xfId="0" applyFill="1" applyBorder="1" applyAlignment="1">
      <alignment/>
    </xf>
    <xf numFmtId="0" fontId="0" fillId="14" borderId="3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26" xfId="0" applyFill="1" applyBorder="1" applyAlignment="1">
      <alignment/>
    </xf>
    <xf numFmtId="0" fontId="0" fillId="10" borderId="27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3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0" fontId="0" fillId="12" borderId="28" xfId="0" applyFill="1" applyBorder="1" applyAlignment="1">
      <alignment/>
    </xf>
    <xf numFmtId="0" fontId="0" fillId="12" borderId="29" xfId="0" applyFont="1" applyFill="1" applyBorder="1" applyAlignment="1">
      <alignment/>
    </xf>
    <xf numFmtId="0" fontId="0" fillId="12" borderId="30" xfId="0" applyFont="1" applyFill="1" applyBorder="1" applyAlignment="1">
      <alignment/>
    </xf>
    <xf numFmtId="0" fontId="0" fillId="12" borderId="31" xfId="0" applyFill="1" applyBorder="1" applyAlignment="1">
      <alignment/>
    </xf>
    <xf numFmtId="0" fontId="0" fillId="12" borderId="3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30" xfId="0" applyFont="1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3" borderId="10" xfId="0" applyFill="1" applyBorder="1" applyAlignment="1">
      <alignment/>
    </xf>
    <xf numFmtId="0" fontId="23" fillId="13" borderId="6" xfId="0" applyFont="1" applyFill="1" applyBorder="1" applyAlignment="1">
      <alignment/>
    </xf>
    <xf numFmtId="0" fontId="23" fillId="13" borderId="19" xfId="0" applyFont="1" applyFill="1" applyBorder="1" applyAlignment="1">
      <alignment/>
    </xf>
    <xf numFmtId="0" fontId="23" fillId="13" borderId="14" xfId="0" applyFont="1" applyFill="1" applyBorder="1" applyAlignment="1">
      <alignment/>
    </xf>
    <xf numFmtId="164" fontId="14" fillId="0" borderId="6" xfId="0" applyNumberFormat="1" applyFont="1" applyFill="1" applyBorder="1" applyAlignment="1">
      <alignment horizontal="left"/>
    </xf>
    <xf numFmtId="0" fontId="26" fillId="13" borderId="0" xfId="0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27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18" fillId="3" borderId="6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8" fillId="3" borderId="6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0" borderId="34" xfId="0" applyBorder="1" applyAlignment="1">
      <alignment/>
    </xf>
    <xf numFmtId="0" fontId="13" fillId="0" borderId="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10" borderId="35" xfId="0" applyFill="1" applyBorder="1" applyAlignment="1">
      <alignment/>
    </xf>
    <xf numFmtId="0" fontId="13" fillId="0" borderId="5" xfId="0" applyFont="1" applyBorder="1" applyAlignment="1">
      <alignment/>
    </xf>
    <xf numFmtId="0" fontId="0" fillId="10" borderId="36" xfId="0" applyFill="1" applyBorder="1" applyAlignment="1">
      <alignment/>
    </xf>
    <xf numFmtId="0" fontId="13" fillId="0" borderId="37" xfId="0" applyFont="1" applyBorder="1" applyAlignment="1">
      <alignment/>
    </xf>
    <xf numFmtId="0" fontId="0" fillId="0" borderId="36" xfId="0" applyBorder="1" applyAlignment="1">
      <alignment/>
    </xf>
    <xf numFmtId="0" fontId="13" fillId="0" borderId="2" xfId="0" applyFont="1" applyBorder="1" applyAlignment="1">
      <alignment/>
    </xf>
    <xf numFmtId="0" fontId="0" fillId="2" borderId="12" xfId="0" applyFill="1" applyBorder="1" applyAlignment="1">
      <alignment/>
    </xf>
    <xf numFmtId="0" fontId="0" fillId="0" borderId="33" xfId="0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3" fontId="13" fillId="0" borderId="12" xfId="0" applyNumberFormat="1" applyFont="1" applyBorder="1" applyAlignment="1">
      <alignment horizontal="left"/>
    </xf>
    <xf numFmtId="0" fontId="0" fillId="10" borderId="37" xfId="0" applyFill="1" applyBorder="1" applyAlignment="1">
      <alignment/>
    </xf>
    <xf numFmtId="0" fontId="0" fillId="0" borderId="35" xfId="0" applyBorder="1" applyAlignment="1">
      <alignment/>
    </xf>
    <xf numFmtId="0" fontId="18" fillId="3" borderId="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43" fillId="3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0" fontId="38" fillId="11" borderId="16" xfId="0" applyFont="1" applyFill="1" applyBorder="1" applyAlignment="1">
      <alignment/>
    </xf>
    <xf numFmtId="0" fontId="39" fillId="11" borderId="15" xfId="0" applyFont="1" applyFill="1" applyBorder="1" applyAlignment="1">
      <alignment horizontal="center"/>
    </xf>
    <xf numFmtId="0" fontId="39" fillId="11" borderId="15" xfId="0" applyFont="1" applyFill="1" applyBorder="1" applyAlignment="1">
      <alignment/>
    </xf>
    <xf numFmtId="0" fontId="36" fillId="11" borderId="16" xfId="0" applyFont="1" applyFill="1" applyBorder="1" applyAlignment="1">
      <alignment horizontal="center"/>
    </xf>
    <xf numFmtId="0" fontId="40" fillId="11" borderId="15" xfId="0" applyFont="1" applyFill="1" applyBorder="1" applyAlignment="1">
      <alignment horizontal="center"/>
    </xf>
    <xf numFmtId="0" fontId="38" fillId="11" borderId="16" xfId="0" applyFont="1" applyFill="1" applyBorder="1" applyAlignment="1">
      <alignment horizontal="center"/>
    </xf>
    <xf numFmtId="164" fontId="13" fillId="3" borderId="0" xfId="0" applyNumberFormat="1" applyFont="1" applyFill="1" applyAlignment="1">
      <alignment/>
    </xf>
    <xf numFmtId="0" fontId="55" fillId="17" borderId="16" xfId="0" applyFont="1" applyFill="1" applyBorder="1" applyAlignment="1">
      <alignment horizontal="center"/>
    </xf>
    <xf numFmtId="0" fontId="56" fillId="17" borderId="15" xfId="0" applyFont="1" applyFill="1" applyBorder="1" applyAlignment="1">
      <alignment horizontal="center"/>
    </xf>
    <xf numFmtId="0" fontId="57" fillId="17" borderId="15" xfId="0" applyFont="1" applyFill="1" applyBorder="1" applyAlignment="1">
      <alignment horizontal="center"/>
    </xf>
    <xf numFmtId="0" fontId="55" fillId="17" borderId="1" xfId="0" applyFont="1" applyFill="1" applyBorder="1" applyAlignment="1">
      <alignment horizontal="center"/>
    </xf>
    <xf numFmtId="0" fontId="15" fillId="17" borderId="1" xfId="0" applyFont="1" applyFill="1" applyBorder="1" applyAlignment="1" applyProtection="1">
      <alignment horizontal="left"/>
      <protection locked="0"/>
    </xf>
    <xf numFmtId="0" fontId="15" fillId="17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shrinkToFit="1"/>
    </xf>
    <xf numFmtId="0" fontId="0" fillId="0" borderId="14" xfId="0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58" fillId="12" borderId="6" xfId="0" applyFont="1" applyFill="1" applyBorder="1" applyAlignment="1">
      <alignment horizontal="center"/>
    </xf>
    <xf numFmtId="0" fontId="59" fillId="5" borderId="6" xfId="0" applyFont="1" applyFill="1" applyBorder="1" applyAlignment="1">
      <alignment horizontal="center"/>
    </xf>
    <xf numFmtId="0" fontId="60" fillId="12" borderId="6" xfId="0" applyFont="1" applyFill="1" applyBorder="1" applyAlignment="1">
      <alignment horizontal="center"/>
    </xf>
    <xf numFmtId="0" fontId="61" fillId="5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4" fillId="16" borderId="0" xfId="0" applyFont="1" applyFill="1" applyAlignment="1">
      <alignment horizontal="center"/>
    </xf>
    <xf numFmtId="0" fontId="23" fillId="15" borderId="0" xfId="0" applyFont="1" applyFill="1" applyAlignment="1">
      <alignment/>
    </xf>
    <xf numFmtId="0" fontId="0" fillId="19" borderId="0" xfId="0" applyFill="1" applyAlignment="1">
      <alignment/>
    </xf>
    <xf numFmtId="0" fontId="0" fillId="15" borderId="0" xfId="0" applyFont="1" applyFill="1" applyAlignment="1">
      <alignment/>
    </xf>
    <xf numFmtId="0" fontId="2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Border="1" applyAlignment="1">
      <alignment/>
    </xf>
    <xf numFmtId="0" fontId="24" fillId="16" borderId="0" xfId="0" applyFont="1" applyFill="1" applyBorder="1" applyAlignment="1">
      <alignment/>
    </xf>
    <xf numFmtId="0" fontId="26" fillId="16" borderId="0" xfId="0" applyFont="1" applyFill="1" applyBorder="1" applyAlignment="1">
      <alignment/>
    </xf>
    <xf numFmtId="0" fontId="0" fillId="20" borderId="0" xfId="0" applyFill="1" applyAlignment="1">
      <alignment/>
    </xf>
    <xf numFmtId="0" fontId="2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26" fillId="20" borderId="38" xfId="0" applyFont="1" applyFill="1" applyBorder="1" applyAlignment="1">
      <alignment horizontal="right"/>
    </xf>
    <xf numFmtId="174" fontId="26" fillId="20" borderId="39" xfId="0" applyNumberFormat="1" applyFont="1" applyFill="1" applyBorder="1" applyAlignment="1">
      <alignment horizontal="left"/>
    </xf>
    <xf numFmtId="0" fontId="62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0" fillId="21" borderId="0" xfId="0" applyFill="1" applyAlignment="1">
      <alignment/>
    </xf>
    <xf numFmtId="0" fontId="23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62" fillId="21" borderId="0" xfId="0" applyFont="1" applyFill="1" applyBorder="1" applyAlignment="1">
      <alignment/>
    </xf>
    <xf numFmtId="0" fontId="26" fillId="21" borderId="0" xfId="0" applyFont="1" applyFill="1" applyBorder="1" applyAlignment="1">
      <alignment/>
    </xf>
    <xf numFmtId="0" fontId="26" fillId="22" borderId="38" xfId="0" applyFont="1" applyFill="1" applyBorder="1" applyAlignment="1">
      <alignment horizontal="right"/>
    </xf>
    <xf numFmtId="174" fontId="26" fillId="22" borderId="39" xfId="0" applyNumberFormat="1" applyFont="1" applyFill="1" applyBorder="1" applyAlignment="1">
      <alignment horizontal="left"/>
    </xf>
    <xf numFmtId="0" fontId="23" fillId="20" borderId="0" xfId="0" applyFont="1" applyFill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42" fillId="17" borderId="1" xfId="0" applyFont="1" applyFill="1" applyBorder="1" applyAlignment="1">
      <alignment horizontal="center"/>
    </xf>
    <xf numFmtId="0" fontId="42" fillId="17" borderId="40" xfId="0" applyFont="1" applyFill="1" applyBorder="1" applyAlignment="1">
      <alignment horizontal="center"/>
    </xf>
    <xf numFmtId="0" fontId="42" fillId="17" borderId="41" xfId="0" applyFont="1" applyFill="1" applyBorder="1" applyAlignment="1">
      <alignment horizontal="center"/>
    </xf>
    <xf numFmtId="0" fontId="42" fillId="17" borderId="42" xfId="0" applyFont="1" applyFill="1" applyBorder="1" applyAlignment="1">
      <alignment horizontal="center"/>
    </xf>
    <xf numFmtId="0" fontId="19" fillId="17" borderId="43" xfId="0" applyFont="1" applyFill="1" applyBorder="1" applyAlignment="1">
      <alignment horizontal="center"/>
    </xf>
    <xf numFmtId="0" fontId="66" fillId="17" borderId="44" xfId="0" applyFont="1" applyFill="1" applyBorder="1" applyAlignment="1">
      <alignment horizontal="center"/>
    </xf>
    <xf numFmtId="0" fontId="66" fillId="17" borderId="45" xfId="0" applyFont="1" applyFill="1" applyBorder="1" applyAlignment="1">
      <alignment horizontal="center"/>
    </xf>
    <xf numFmtId="0" fontId="19" fillId="17" borderId="46" xfId="0" applyFont="1" applyFill="1" applyBorder="1" applyAlignment="1">
      <alignment horizontal="center"/>
    </xf>
    <xf numFmtId="0" fontId="19" fillId="17" borderId="47" xfId="0" applyFont="1" applyFill="1" applyBorder="1" applyAlignment="1">
      <alignment horizontal="center"/>
    </xf>
    <xf numFmtId="0" fontId="26" fillId="13" borderId="0" xfId="0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/>
    </xf>
    <xf numFmtId="0" fontId="66" fillId="17" borderId="1" xfId="0" applyFont="1" applyFill="1" applyBorder="1" applyAlignment="1">
      <alignment horizontal="center"/>
    </xf>
    <xf numFmtId="0" fontId="72" fillId="8" borderId="1" xfId="0" applyFont="1" applyFill="1" applyBorder="1" applyAlignment="1">
      <alignment horizontal="center"/>
    </xf>
    <xf numFmtId="0" fontId="73" fillId="8" borderId="1" xfId="0" applyFont="1" applyFill="1" applyBorder="1" applyAlignment="1">
      <alignment horizontal="center"/>
    </xf>
    <xf numFmtId="0" fontId="74" fillId="8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72" fillId="5" borderId="1" xfId="0" applyFont="1" applyFill="1" applyBorder="1" applyAlignment="1">
      <alignment horizontal="center"/>
    </xf>
    <xf numFmtId="0" fontId="71" fillId="23" borderId="1" xfId="0" applyFont="1" applyFill="1" applyBorder="1" applyAlignment="1">
      <alignment horizontal="center"/>
    </xf>
    <xf numFmtId="0" fontId="26" fillId="13" borderId="0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75" fillId="16" borderId="0" xfId="0" applyFont="1" applyFill="1" applyAlignment="1">
      <alignment/>
    </xf>
    <xf numFmtId="0" fontId="76" fillId="16" borderId="0" xfId="0" applyFont="1" applyFill="1" applyBorder="1" applyAlignment="1">
      <alignment/>
    </xf>
    <xf numFmtId="0" fontId="42" fillId="8" borderId="1" xfId="0" applyFont="1" applyFill="1" applyBorder="1" applyAlignment="1">
      <alignment horizontal="center"/>
    </xf>
    <xf numFmtId="0" fontId="72" fillId="11" borderId="1" xfId="0" applyFont="1" applyFill="1" applyBorder="1" applyAlignment="1">
      <alignment horizontal="center"/>
    </xf>
    <xf numFmtId="0" fontId="26" fillId="20" borderId="0" xfId="0" applyFont="1" applyFill="1" applyAlignment="1">
      <alignment/>
    </xf>
    <xf numFmtId="0" fontId="24" fillId="13" borderId="11" xfId="0" applyFont="1" applyFill="1" applyBorder="1" applyAlignment="1">
      <alignment horizontal="center"/>
    </xf>
    <xf numFmtId="0" fontId="24" fillId="13" borderId="12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13" fillId="0" borderId="36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0" fontId="79" fillId="6" borderId="34" xfId="0" applyFont="1" applyFill="1" applyBorder="1" applyAlignment="1">
      <alignment horizontal="center" vertical="center"/>
    </xf>
    <xf numFmtId="0" fontId="0" fillId="6" borderId="34" xfId="0" applyFill="1" applyBorder="1" applyAlignment="1">
      <alignment/>
    </xf>
    <xf numFmtId="0" fontId="24" fillId="6" borderId="34" xfId="0" applyFont="1" applyFill="1" applyBorder="1" applyAlignment="1">
      <alignment/>
    </xf>
    <xf numFmtId="0" fontId="77" fillId="6" borderId="34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3" xfId="0" applyFill="1" applyBorder="1" applyAlignment="1">
      <alignment/>
    </xf>
    <xf numFmtId="0" fontId="0" fillId="24" borderId="4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8" xfId="0" applyFill="1" applyBorder="1" applyAlignment="1">
      <alignment/>
    </xf>
    <xf numFmtId="0" fontId="0" fillId="24" borderId="9" xfId="0" applyFill="1" applyBorder="1" applyAlignment="1">
      <alignment/>
    </xf>
    <xf numFmtId="0" fontId="82" fillId="6" borderId="0" xfId="18" applyFont="1" applyFill="1" applyBorder="1" applyAlignment="1">
      <alignment/>
    </xf>
    <xf numFmtId="0" fontId="84" fillId="20" borderId="0" xfId="0" applyFont="1" applyFill="1" applyAlignment="1">
      <alignment horizontal="center"/>
    </xf>
    <xf numFmtId="0" fontId="84" fillId="21" borderId="0" xfId="0" applyFont="1" applyFill="1" applyBorder="1" applyAlignment="1">
      <alignment horizontal="center"/>
    </xf>
    <xf numFmtId="0" fontId="0" fillId="19" borderId="2" xfId="0" applyFill="1" applyBorder="1" applyAlignment="1">
      <alignment/>
    </xf>
    <xf numFmtId="0" fontId="0" fillId="19" borderId="3" xfId="0" applyFill="1" applyBorder="1" applyAlignment="1">
      <alignment/>
    </xf>
    <xf numFmtId="0" fontId="0" fillId="19" borderId="5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34" xfId="0" applyFill="1" applyBorder="1" applyAlignment="1">
      <alignment/>
    </xf>
    <xf numFmtId="0" fontId="0" fillId="19" borderId="7" xfId="0" applyFill="1" applyBorder="1" applyAlignment="1">
      <alignment/>
    </xf>
    <xf numFmtId="0" fontId="0" fillId="19" borderId="8" xfId="0" applyFill="1" applyBorder="1" applyAlignment="1">
      <alignment/>
    </xf>
    <xf numFmtId="0" fontId="0" fillId="19" borderId="9" xfId="0" applyFill="1" applyBorder="1" applyAlignment="1">
      <alignment/>
    </xf>
    <xf numFmtId="0" fontId="49" fillId="19" borderId="4" xfId="0" applyFont="1" applyFill="1" applyBorder="1" applyAlignment="1">
      <alignment/>
    </xf>
    <xf numFmtId="0" fontId="16" fillId="17" borderId="13" xfId="0" applyFont="1" applyFill="1" applyBorder="1" applyAlignment="1">
      <alignment horizontal="center"/>
    </xf>
    <xf numFmtId="0" fontId="85" fillId="18" borderId="0" xfId="0" applyFont="1" applyFill="1" applyAlignment="1">
      <alignment/>
    </xf>
    <xf numFmtId="0" fontId="86" fillId="18" borderId="0" xfId="0" applyFont="1" applyFill="1" applyAlignment="1">
      <alignment/>
    </xf>
    <xf numFmtId="175" fontId="12" fillId="24" borderId="49" xfId="0" applyNumberFormat="1" applyFont="1" applyFill="1" applyBorder="1" applyAlignment="1" applyProtection="1">
      <alignment horizontal="right" vertical="center"/>
      <protection locked="0"/>
    </xf>
    <xf numFmtId="176" fontId="2" fillId="3" borderId="6" xfId="0" applyNumberFormat="1" applyFont="1" applyFill="1" applyBorder="1" applyAlignment="1" applyProtection="1">
      <alignment horizontal="center"/>
      <protection locked="0"/>
    </xf>
    <xf numFmtId="176" fontId="69" fillId="8" borderId="39" xfId="0" applyNumberFormat="1" applyFont="1" applyFill="1" applyBorder="1" applyAlignment="1" applyProtection="1">
      <alignment horizontal="center"/>
      <protection locked="0"/>
    </xf>
    <xf numFmtId="0" fontId="0" fillId="20" borderId="38" xfId="0" applyFont="1" applyFill="1" applyBorder="1" applyAlignment="1">
      <alignment/>
    </xf>
    <xf numFmtId="0" fontId="0" fillId="20" borderId="39" xfId="0" applyFill="1" applyBorder="1" applyAlignment="1">
      <alignment/>
    </xf>
    <xf numFmtId="176" fontId="26" fillId="22" borderId="49" xfId="0" applyNumberFormat="1" applyFont="1" applyFill="1" applyBorder="1" applyAlignment="1">
      <alignment horizontal="center"/>
    </xf>
    <xf numFmtId="177" fontId="26" fillId="22" borderId="49" xfId="0" applyNumberFormat="1" applyFont="1" applyFill="1" applyBorder="1" applyAlignment="1">
      <alignment horizontal="center"/>
    </xf>
    <xf numFmtId="178" fontId="26" fillId="22" borderId="49" xfId="0" applyNumberFormat="1" applyFont="1" applyFill="1" applyBorder="1" applyAlignment="1">
      <alignment horizontal="center"/>
    </xf>
    <xf numFmtId="176" fontId="69" fillId="8" borderId="50" xfId="0" applyNumberFormat="1" applyFont="1" applyFill="1" applyBorder="1" applyAlignment="1" applyProtection="1">
      <alignment horizontal="center"/>
      <protection locked="0"/>
    </xf>
    <xf numFmtId="0" fontId="72" fillId="5" borderId="6" xfId="0" applyFont="1" applyFill="1" applyBorder="1" applyAlignment="1">
      <alignment horizontal="center"/>
    </xf>
    <xf numFmtId="0" fontId="19" fillId="8" borderId="49" xfId="0" applyFont="1" applyFill="1" applyBorder="1" applyAlignment="1">
      <alignment horizontal="center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3" fillId="25" borderId="51" xfId="0" applyFont="1" applyFill="1" applyBorder="1" applyAlignment="1">
      <alignment/>
    </xf>
    <xf numFmtId="0" fontId="23" fillId="26" borderId="51" xfId="0" applyFont="1" applyFill="1" applyBorder="1" applyAlignment="1">
      <alignment/>
    </xf>
    <xf numFmtId="175" fontId="23" fillId="25" borderId="52" xfId="0" applyNumberFormat="1" applyFont="1" applyFill="1" applyBorder="1" applyAlignment="1">
      <alignment/>
    </xf>
    <xf numFmtId="0" fontId="13" fillId="2" borderId="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75" fontId="23" fillId="26" borderId="51" xfId="0" applyNumberFormat="1" applyFont="1" applyFill="1" applyBorder="1" applyAlignment="1">
      <alignment/>
    </xf>
    <xf numFmtId="175" fontId="23" fillId="26" borderId="52" xfId="0" applyNumberFormat="1" applyFont="1" applyFill="1" applyBorder="1" applyAlignment="1">
      <alignment/>
    </xf>
    <xf numFmtId="164" fontId="23" fillId="25" borderId="51" xfId="0" applyNumberFormat="1" applyFont="1" applyFill="1" applyBorder="1" applyAlignment="1">
      <alignment horizontal="left"/>
    </xf>
    <xf numFmtId="164" fontId="23" fillId="25" borderId="53" xfId="0" applyNumberFormat="1" applyFont="1" applyFill="1" applyBorder="1" applyAlignment="1">
      <alignment horizontal="right"/>
    </xf>
    <xf numFmtId="0" fontId="0" fillId="11" borderId="0" xfId="0" applyFill="1" applyAlignment="1">
      <alignment/>
    </xf>
    <xf numFmtId="0" fontId="13" fillId="3" borderId="51" xfId="0" applyFont="1" applyFill="1" applyBorder="1" applyAlignment="1">
      <alignment/>
    </xf>
    <xf numFmtId="0" fontId="13" fillId="3" borderId="51" xfId="0" applyFont="1" applyFill="1" applyBorder="1" applyAlignment="1">
      <alignment/>
    </xf>
    <xf numFmtId="0" fontId="13" fillId="3" borderId="54" xfId="0" applyFont="1" applyFill="1" applyBorder="1" applyAlignment="1">
      <alignment/>
    </xf>
    <xf numFmtId="0" fontId="13" fillId="11" borderId="0" xfId="0" applyFont="1" applyFill="1" applyAlignment="1">
      <alignment/>
    </xf>
    <xf numFmtId="0" fontId="91" fillId="15" borderId="55" xfId="0" applyFont="1" applyFill="1" applyBorder="1" applyAlignment="1">
      <alignment/>
    </xf>
    <xf numFmtId="0" fontId="91" fillId="15" borderId="56" xfId="0" applyFont="1" applyFill="1" applyBorder="1" applyAlignment="1">
      <alignment/>
    </xf>
    <xf numFmtId="0" fontId="91" fillId="15" borderId="57" xfId="0" applyFont="1" applyFill="1" applyBorder="1" applyAlignment="1">
      <alignment/>
    </xf>
    <xf numFmtId="0" fontId="13" fillId="3" borderId="58" xfId="0" applyFont="1" applyFill="1" applyBorder="1" applyAlignment="1">
      <alignment/>
    </xf>
    <xf numFmtId="0" fontId="13" fillId="3" borderId="59" xfId="0" applyFont="1" applyFill="1" applyBorder="1" applyAlignment="1">
      <alignment/>
    </xf>
    <xf numFmtId="0" fontId="13" fillId="3" borderId="60" xfId="0" applyFont="1" applyFill="1" applyBorder="1" applyAlignment="1">
      <alignment/>
    </xf>
    <xf numFmtId="0" fontId="13" fillId="3" borderId="61" xfId="0" applyFont="1" applyFill="1" applyBorder="1" applyAlignment="1">
      <alignment/>
    </xf>
    <xf numFmtId="0" fontId="49" fillId="19" borderId="34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3" borderId="9" xfId="0" applyFont="1" applyFill="1" applyBorder="1" applyAlignment="1">
      <alignment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94" fillId="0" borderId="7" xfId="0" applyFont="1" applyBorder="1" applyAlignment="1">
      <alignment/>
    </xf>
    <xf numFmtId="0" fontId="12" fillId="17" borderId="3" xfId="0" applyFont="1" applyFill="1" applyBorder="1" applyAlignment="1">
      <alignment horizontal="center"/>
    </xf>
    <xf numFmtId="0" fontId="12" fillId="17" borderId="4" xfId="0" applyFont="1" applyFill="1" applyBorder="1" applyAlignment="1">
      <alignment horizontal="center"/>
    </xf>
    <xf numFmtId="0" fontId="12" fillId="17" borderId="7" xfId="0" applyFont="1" applyFill="1" applyBorder="1" applyAlignment="1">
      <alignment horizontal="center"/>
    </xf>
    <xf numFmtId="0" fontId="83" fillId="6" borderId="2" xfId="0" applyFont="1" applyFill="1" applyBorder="1" applyAlignment="1">
      <alignment horizontal="center"/>
    </xf>
    <xf numFmtId="0" fontId="83" fillId="6" borderId="3" xfId="0" applyFont="1" applyFill="1" applyBorder="1" applyAlignment="1">
      <alignment horizontal="center"/>
    </xf>
    <xf numFmtId="0" fontId="83" fillId="6" borderId="4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8" xfId="0" applyFont="1" applyFill="1" applyBorder="1" applyAlignment="1">
      <alignment horizontal="center"/>
    </xf>
    <xf numFmtId="0" fontId="12" fillId="17" borderId="9" xfId="0" applyFont="1" applyFill="1" applyBorder="1" applyAlignment="1">
      <alignment horizontal="center"/>
    </xf>
    <xf numFmtId="0" fontId="23" fillId="26" borderId="53" xfId="0" applyFont="1" applyFill="1" applyBorder="1" applyAlignment="1">
      <alignment vertical="center"/>
    </xf>
    <xf numFmtId="0" fontId="23" fillId="26" borderId="62" xfId="0" applyFont="1" applyFill="1" applyBorder="1" applyAlignment="1">
      <alignment vertical="center"/>
    </xf>
    <xf numFmtId="0" fontId="23" fillId="25" borderId="53" xfId="0" applyFont="1" applyFill="1" applyBorder="1" applyAlignment="1">
      <alignment vertical="center"/>
    </xf>
    <xf numFmtId="0" fontId="23" fillId="26" borderId="51" xfId="0" applyFont="1" applyFill="1" applyBorder="1" applyAlignment="1">
      <alignment/>
    </xf>
    <xf numFmtId="0" fontId="23" fillId="26" borderId="52" xfId="0" applyFont="1" applyFill="1" applyBorder="1" applyAlignment="1">
      <alignment/>
    </xf>
    <xf numFmtId="0" fontId="23" fillId="26" borderId="63" xfId="0" applyFont="1" applyFill="1" applyBorder="1" applyAlignment="1">
      <alignment/>
    </xf>
    <xf numFmtId="0" fontId="23" fillId="26" borderId="64" xfId="0" applyFont="1" applyFill="1" applyBorder="1" applyAlignment="1">
      <alignment/>
    </xf>
    <xf numFmtId="175" fontId="23" fillId="26" borderId="54" xfId="0" applyNumberFormat="1" applyFont="1" applyFill="1" applyBorder="1" applyAlignment="1">
      <alignment horizontal="right"/>
    </xf>
    <xf numFmtId="175" fontId="23" fillId="26" borderId="65" xfId="0" applyNumberFormat="1" applyFont="1" applyFill="1" applyBorder="1" applyAlignment="1">
      <alignment horizontal="right"/>
    </xf>
    <xf numFmtId="182" fontId="23" fillId="25" borderId="51" xfId="0" applyNumberFormat="1" applyFont="1" applyFill="1" applyBorder="1" applyAlignment="1">
      <alignment/>
    </xf>
    <xf numFmtId="182" fontId="23" fillId="25" borderId="52" xfId="0" applyNumberFormat="1" applyFont="1" applyFill="1" applyBorder="1" applyAlignment="1">
      <alignment/>
    </xf>
    <xf numFmtId="179" fontId="23" fillId="25" borderId="51" xfId="0" applyNumberFormat="1" applyFont="1" applyFill="1" applyBorder="1" applyAlignment="1">
      <alignment/>
    </xf>
    <xf numFmtId="179" fontId="23" fillId="25" borderId="52" xfId="0" applyNumberFormat="1" applyFont="1" applyFill="1" applyBorder="1" applyAlignment="1">
      <alignment/>
    </xf>
    <xf numFmtId="169" fontId="23" fillId="25" borderId="51" xfId="0" applyNumberFormat="1" applyFont="1" applyFill="1" applyBorder="1" applyAlignment="1">
      <alignment/>
    </xf>
    <xf numFmtId="169" fontId="23" fillId="25" borderId="52" xfId="0" applyNumberFormat="1" applyFont="1" applyFill="1" applyBorder="1" applyAlignment="1">
      <alignment/>
    </xf>
    <xf numFmtId="175" fontId="23" fillId="26" borderId="51" xfId="0" applyNumberFormat="1" applyFont="1" applyFill="1" applyBorder="1" applyAlignment="1">
      <alignment/>
    </xf>
    <xf numFmtId="175" fontId="23" fillId="26" borderId="52" xfId="0" applyNumberFormat="1" applyFont="1" applyFill="1" applyBorder="1" applyAlignment="1">
      <alignment/>
    </xf>
    <xf numFmtId="0" fontId="13" fillId="11" borderId="66" xfId="0" applyFont="1" applyFill="1" applyBorder="1" applyAlignment="1">
      <alignment horizontal="center"/>
    </xf>
    <xf numFmtId="0" fontId="89" fillId="27" borderId="67" xfId="0" applyFont="1" applyFill="1" applyBorder="1" applyAlignment="1">
      <alignment horizontal="center"/>
    </xf>
    <xf numFmtId="0" fontId="89" fillId="27" borderId="68" xfId="0" applyFont="1" applyFill="1" applyBorder="1" applyAlignment="1">
      <alignment horizontal="center"/>
    </xf>
    <xf numFmtId="0" fontId="89" fillId="27" borderId="69" xfId="0" applyFont="1" applyFill="1" applyBorder="1" applyAlignment="1">
      <alignment horizontal="center"/>
    </xf>
    <xf numFmtId="0" fontId="23" fillId="25" borderId="51" xfId="0" applyFont="1" applyFill="1" applyBorder="1" applyAlignment="1">
      <alignment/>
    </xf>
    <xf numFmtId="0" fontId="23" fillId="25" borderId="52" xfId="0" applyFont="1" applyFill="1" applyBorder="1" applyAlignment="1">
      <alignment/>
    </xf>
    <xf numFmtId="0" fontId="13" fillId="3" borderId="53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1" fontId="13" fillId="3" borderId="51" xfId="0" applyNumberFormat="1" applyFont="1" applyFill="1" applyBorder="1" applyAlignment="1">
      <alignment/>
    </xf>
    <xf numFmtId="1" fontId="13" fillId="3" borderId="52" xfId="0" applyNumberFormat="1" applyFont="1" applyFill="1" applyBorder="1" applyAlignment="1">
      <alignment/>
    </xf>
    <xf numFmtId="168" fontId="13" fillId="3" borderId="51" xfId="0" applyNumberFormat="1" applyFont="1" applyFill="1" applyBorder="1" applyAlignment="1">
      <alignment/>
    </xf>
    <xf numFmtId="168" fontId="13" fillId="3" borderId="52" xfId="0" applyNumberFormat="1" applyFont="1" applyFill="1" applyBorder="1" applyAlignment="1">
      <alignment/>
    </xf>
    <xf numFmtId="169" fontId="13" fillId="3" borderId="51" xfId="0" applyNumberFormat="1" applyFont="1" applyFill="1" applyBorder="1" applyAlignment="1">
      <alignment/>
    </xf>
    <xf numFmtId="169" fontId="13" fillId="3" borderId="52" xfId="0" applyNumberFormat="1" applyFont="1" applyFill="1" applyBorder="1" applyAlignment="1">
      <alignment/>
    </xf>
    <xf numFmtId="164" fontId="13" fillId="3" borderId="54" xfId="0" applyNumberFormat="1" applyFont="1" applyFill="1" applyBorder="1" applyAlignment="1">
      <alignment/>
    </xf>
    <xf numFmtId="164" fontId="13" fillId="3" borderId="65" xfId="0" applyNumberFormat="1" applyFont="1" applyFill="1" applyBorder="1" applyAlignment="1">
      <alignment/>
    </xf>
    <xf numFmtId="0" fontId="19" fillId="28" borderId="10" xfId="0" applyFont="1" applyFill="1" applyBorder="1" applyAlignment="1">
      <alignment horizontal="center"/>
    </xf>
    <xf numFmtId="0" fontId="19" fillId="28" borderId="11" xfId="0" applyFont="1" applyFill="1" applyBorder="1" applyAlignment="1">
      <alignment horizontal="center"/>
    </xf>
    <xf numFmtId="0" fontId="19" fillId="28" borderId="12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6" fillId="22" borderId="38" xfId="0" applyFont="1" applyFill="1" applyBorder="1" applyAlignment="1">
      <alignment horizontal="center"/>
    </xf>
    <xf numFmtId="0" fontId="26" fillId="22" borderId="72" xfId="0" applyFont="1" applyFill="1" applyBorder="1" applyAlignment="1">
      <alignment horizontal="center"/>
    </xf>
    <xf numFmtId="0" fontId="26" fillId="22" borderId="39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 vertical="center"/>
    </xf>
    <xf numFmtId="0" fontId="88" fillId="15" borderId="0" xfId="0" applyFont="1" applyFill="1" applyAlignment="1">
      <alignment horizontal="center"/>
    </xf>
    <xf numFmtId="0" fontId="84" fillId="16" borderId="0" xfId="0" applyFont="1" applyFill="1" applyBorder="1" applyAlignment="1">
      <alignment horizontal="center"/>
    </xf>
    <xf numFmtId="0" fontId="64" fillId="22" borderId="38" xfId="0" applyFont="1" applyFill="1" applyBorder="1" applyAlignment="1">
      <alignment horizontal="center"/>
    </xf>
    <xf numFmtId="0" fontId="64" fillId="22" borderId="39" xfId="0" applyFont="1" applyFill="1" applyBorder="1" applyAlignment="1">
      <alignment horizontal="center"/>
    </xf>
    <xf numFmtId="0" fontId="69" fillId="8" borderId="38" xfId="0" applyFont="1" applyFill="1" applyBorder="1" applyAlignment="1">
      <alignment horizontal="center"/>
    </xf>
    <xf numFmtId="0" fontId="70" fillId="8" borderId="39" xfId="0" applyFont="1" applyFill="1" applyBorder="1" applyAlignment="1">
      <alignment/>
    </xf>
    <xf numFmtId="0" fontId="67" fillId="8" borderId="38" xfId="0" applyFont="1" applyFill="1" applyBorder="1" applyAlignment="1">
      <alignment horizontal="center"/>
    </xf>
    <xf numFmtId="0" fontId="67" fillId="8" borderId="39" xfId="0" applyFont="1" applyFill="1" applyBorder="1" applyAlignment="1">
      <alignment horizontal="center"/>
    </xf>
    <xf numFmtId="0" fontId="84" fillId="20" borderId="0" xfId="0" applyFont="1" applyFill="1" applyAlignment="1">
      <alignment horizontal="center"/>
    </xf>
    <xf numFmtId="0" fontId="26" fillId="20" borderId="73" xfId="0" applyFont="1" applyFill="1" applyBorder="1" applyAlignment="1">
      <alignment horizontal="center"/>
    </xf>
    <xf numFmtId="0" fontId="26" fillId="20" borderId="74" xfId="0" applyFont="1" applyFill="1" applyBorder="1" applyAlignment="1">
      <alignment horizontal="center"/>
    </xf>
    <xf numFmtId="0" fontId="26" fillId="20" borderId="75" xfId="0" applyFont="1" applyFill="1" applyBorder="1" applyAlignment="1">
      <alignment horizontal="center"/>
    </xf>
    <xf numFmtId="0" fontId="69" fillId="8" borderId="72" xfId="0" applyFont="1" applyFill="1" applyBorder="1" applyAlignment="1">
      <alignment horizontal="center"/>
    </xf>
    <xf numFmtId="0" fontId="69" fillId="8" borderId="39" xfId="0" applyFont="1" applyFill="1" applyBorder="1" applyAlignment="1">
      <alignment horizontal="center"/>
    </xf>
    <xf numFmtId="0" fontId="84" fillId="21" borderId="0" xfId="0" applyFont="1" applyFill="1" applyBorder="1" applyAlignment="1">
      <alignment horizontal="center"/>
    </xf>
    <xf numFmtId="0" fontId="42" fillId="21" borderId="0" xfId="0" applyFont="1" applyFill="1" applyBorder="1" applyAlignment="1">
      <alignment horizontal="center"/>
    </xf>
    <xf numFmtId="0" fontId="42" fillId="22" borderId="73" xfId="0" applyFont="1" applyFill="1" applyBorder="1" applyAlignment="1">
      <alignment horizontal="center"/>
    </xf>
    <xf numFmtId="0" fontId="42" fillId="22" borderId="74" xfId="0" applyFont="1" applyFill="1" applyBorder="1" applyAlignment="1">
      <alignment horizontal="center"/>
    </xf>
    <xf numFmtId="0" fontId="42" fillId="22" borderId="75" xfId="0" applyFont="1" applyFill="1" applyBorder="1" applyAlignment="1">
      <alignment horizontal="center"/>
    </xf>
    <xf numFmtId="0" fontId="19" fillId="17" borderId="13" xfId="0" applyFont="1" applyFill="1" applyBorder="1" applyAlignment="1">
      <alignment horizontal="center" wrapText="1"/>
    </xf>
    <xf numFmtId="0" fontId="19" fillId="17" borderId="76" xfId="0" applyFont="1" applyFill="1" applyBorder="1" applyAlignment="1">
      <alignment horizontal="center" wrapText="1"/>
    </xf>
    <xf numFmtId="0" fontId="69" fillId="8" borderId="77" xfId="0" applyFont="1" applyFill="1" applyBorder="1" applyAlignment="1">
      <alignment horizontal="center"/>
    </xf>
    <xf numFmtId="0" fontId="69" fillId="8" borderId="78" xfId="0" applyFont="1" applyFill="1" applyBorder="1" applyAlignment="1">
      <alignment horizontal="center"/>
    </xf>
    <xf numFmtId="0" fontId="69" fillId="8" borderId="79" xfId="0" applyFont="1" applyFill="1" applyBorder="1" applyAlignment="1">
      <alignment horizontal="center"/>
    </xf>
    <xf numFmtId="0" fontId="64" fillId="22" borderId="77" xfId="0" applyFont="1" applyFill="1" applyBorder="1" applyAlignment="1">
      <alignment horizontal="center"/>
    </xf>
    <xf numFmtId="0" fontId="64" fillId="22" borderId="78" xfId="0" applyFont="1" applyFill="1" applyBorder="1" applyAlignment="1">
      <alignment horizontal="center"/>
    </xf>
    <xf numFmtId="0" fontId="64" fillId="22" borderId="79" xfId="0" applyFont="1" applyFill="1" applyBorder="1" applyAlignment="1">
      <alignment horizontal="center"/>
    </xf>
    <xf numFmtId="0" fontId="80" fillId="21" borderId="0" xfId="0" applyFont="1" applyFill="1" applyBorder="1" applyAlignment="1">
      <alignment horizontal="center"/>
    </xf>
    <xf numFmtId="0" fontId="26" fillId="22" borderId="38" xfId="0" applyFont="1" applyFill="1" applyBorder="1" applyAlignment="1">
      <alignment/>
    </xf>
    <xf numFmtId="0" fontId="26" fillId="22" borderId="72" xfId="0" applyFont="1" applyFill="1" applyBorder="1" applyAlignment="1">
      <alignment/>
    </xf>
    <xf numFmtId="0" fontId="26" fillId="22" borderId="39" xfId="0" applyFont="1" applyFill="1" applyBorder="1" applyAlignment="1">
      <alignment/>
    </xf>
    <xf numFmtId="0" fontId="26" fillId="13" borderId="0" xfId="0" applyFont="1" applyFill="1" applyBorder="1" applyAlignment="1">
      <alignment horizontal="center"/>
    </xf>
    <xf numFmtId="164" fontId="26" fillId="13" borderId="0" xfId="0" applyNumberFormat="1" applyFont="1" applyFill="1" applyBorder="1" applyAlignment="1">
      <alignment horizontal="left"/>
    </xf>
    <xf numFmtId="0" fontId="41" fillId="29" borderId="77" xfId="0" applyFont="1" applyFill="1" applyBorder="1" applyAlignment="1">
      <alignment horizontal="center"/>
    </xf>
    <xf numFmtId="0" fontId="41" fillId="29" borderId="78" xfId="0" applyFont="1" applyFill="1" applyBorder="1" applyAlignment="1">
      <alignment horizontal="center"/>
    </xf>
    <xf numFmtId="0" fontId="41" fillId="29" borderId="79" xfId="0" applyFont="1" applyFill="1" applyBorder="1" applyAlignment="1">
      <alignment horizontal="center"/>
    </xf>
    <xf numFmtId="0" fontId="26" fillId="1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5">
    <dxf>
      <font>
        <color rgb="FFFF0000"/>
      </font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Relationship Id="rId5" Type="http://schemas.openxmlformats.org/officeDocument/2006/relationships/hyperlink" Target="http://www.radsan.com/" TargetMode="External" /><Relationship Id="rId6" Type="http://schemas.openxmlformats.org/officeDocument/2006/relationships/hyperlink" Target="mailto:radsan@radsan.com" TargetMode="External" /><Relationship Id="rId7" Type="http://schemas.openxmlformats.org/officeDocument/2006/relationships/image" Target="../media/image1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7</xdr:col>
      <xdr:colOff>1238250</xdr:colOff>
      <xdr:row>12</xdr:row>
      <xdr:rowOff>142875</xdr:rowOff>
    </xdr:to>
    <xdr:sp>
      <xdr:nvSpPr>
        <xdr:cNvPr id="1" name="Polygon 147"/>
        <xdr:cNvSpPr>
          <a:spLocks/>
        </xdr:cNvSpPr>
      </xdr:nvSpPr>
      <xdr:spPr>
        <a:xfrm>
          <a:off x="3333750" y="9525"/>
          <a:ext cx="4524375" cy="3276600"/>
        </a:xfrm>
        <a:custGeom>
          <a:pathLst>
            <a:path h="434" w="610">
              <a:moveTo>
                <a:pt x="608" y="434"/>
              </a:moveTo>
              <a:lnTo>
                <a:pt x="0" y="434"/>
              </a:lnTo>
              <a:lnTo>
                <a:pt x="0" y="0"/>
              </a:lnTo>
              <a:lnTo>
                <a:pt x="610" y="0"/>
              </a:lnTo>
              <a:lnTo>
                <a:pt x="610" y="143"/>
              </a:lnTo>
              <a:lnTo>
                <a:pt x="447" y="143"/>
              </a:lnTo>
              <a:lnTo>
                <a:pt x="446" y="304"/>
              </a:lnTo>
              <a:lnTo>
                <a:pt x="608" y="304"/>
              </a:lnTo>
              <a:lnTo>
                <a:pt x="608" y="434"/>
              </a:lnTo>
              <a:close/>
            </a:path>
          </a:pathLst>
        </a:custGeom>
        <a:gradFill rotWithShape="1">
          <a:gsLst>
            <a:gs pos="0">
              <a:srgbClr val="99CCFF"/>
            </a:gs>
            <a:gs pos="50000">
              <a:srgbClr val="000000"/>
            </a:gs>
            <a:gs pos="100000">
              <a:srgbClr val="99CCFF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19050</xdr:colOff>
      <xdr:row>7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3362325" y="2009775"/>
          <a:ext cx="3276600" cy="3143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99CCFF"/>
            </a:gs>
            <a:gs pos="100000">
              <a:srgbClr val="000000"/>
            </a:gs>
          </a:gsLst>
          <a:lin ang="0" scaled="1"/>
        </a:gra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BİNANIN YÜKSEKLİĞİ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 (m)</a:t>
          </a:r>
        </a:p>
      </xdr:txBody>
    </xdr:sp>
    <xdr:clientData/>
  </xdr:twoCellAnchor>
  <xdr:twoCellAnchor>
    <xdr:from>
      <xdr:col>5</xdr:col>
      <xdr:colOff>38100</xdr:colOff>
      <xdr:row>5</xdr:row>
      <xdr:rowOff>0</xdr:rowOff>
    </xdr:from>
    <xdr:to>
      <xdr:col>7</xdr:col>
      <xdr:colOff>19050</xdr:colOff>
      <xdr:row>6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3362325" y="1695450"/>
          <a:ext cx="3276600" cy="3143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99CCFF"/>
            </a:gs>
            <a:gs pos="100000">
              <a:srgbClr val="000000"/>
            </a:gs>
          </a:gsLst>
          <a:lin ang="0" scaled="1"/>
        </a:gra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BİNANIN ENİ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 (m)</a:t>
          </a:r>
        </a:p>
      </xdr:txBody>
    </xdr:sp>
    <xdr:clientData/>
  </xdr:twoCellAnchor>
  <xdr:twoCellAnchor>
    <xdr:from>
      <xdr:col>5</xdr:col>
      <xdr:colOff>38100</xdr:colOff>
      <xdr:row>4</xdr:row>
      <xdr:rowOff>0</xdr:rowOff>
    </xdr:from>
    <xdr:to>
      <xdr:col>7</xdr:col>
      <xdr:colOff>19050</xdr:colOff>
      <xdr:row>5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3362325" y="1381125"/>
          <a:ext cx="3276600" cy="3143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99CCFF"/>
            </a:gs>
            <a:gs pos="100000">
              <a:srgbClr val="000000"/>
            </a:gs>
          </a:gsLst>
          <a:lin ang="0" scaled="1"/>
        </a:gra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BİNANIN BOYU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L (m)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390525</xdr:colOff>
      <xdr:row>39</xdr:row>
      <xdr:rowOff>0</xdr:rowOff>
    </xdr:to>
    <xdr:sp macro="[0]!ekran">
      <xdr:nvSpPr>
        <xdr:cNvPr id="5" name="Polygon 38"/>
        <xdr:cNvSpPr>
          <a:spLocks/>
        </xdr:cNvSpPr>
      </xdr:nvSpPr>
      <xdr:spPr>
        <a:xfrm>
          <a:off x="0" y="0"/>
          <a:ext cx="2667000" cy="6267450"/>
        </a:xfrm>
        <a:custGeom>
          <a:pathLst>
            <a:path h="494" w="212">
              <a:moveTo>
                <a:pt x="1" y="0"/>
              </a:moveTo>
              <a:lnTo>
                <a:pt x="15" y="0"/>
              </a:lnTo>
              <a:lnTo>
                <a:pt x="212" y="494"/>
              </a:lnTo>
              <a:lnTo>
                <a:pt x="0" y="494"/>
              </a:lnTo>
              <a:lnTo>
                <a:pt x="1" y="0"/>
              </a:lnTo>
              <a:close/>
            </a:path>
          </a:pathLst>
        </a:custGeom>
        <a:pattFill prst="narHorz">
          <a:fgClr>
            <a:srgbClr val="FF00FF"/>
          </a:fgClr>
          <a:bgClr>
            <a:srgbClr val="760076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85725</xdr:colOff>
      <xdr:row>4</xdr:row>
      <xdr:rowOff>47625</xdr:rowOff>
    </xdr:from>
    <xdr:to>
      <xdr:col>10</xdr:col>
      <xdr:colOff>171450</xdr:colOff>
      <xdr:row>6</xdr:row>
      <xdr:rowOff>257175</xdr:rowOff>
    </xdr:to>
    <xdr:pic macro="[0]!fakc1">
      <xdr:nvPicPr>
        <xdr:cNvPr id="6" name="Picture 58"/>
        <xdr:cNvPicPr preferRelativeResize="1">
          <a:picLocks noChangeAspect="1"/>
        </xdr:cNvPicPr>
      </xdr:nvPicPr>
      <xdr:blipFill>
        <a:blip r:embed="rId1">
          <a:clrChange>
            <a:clrFrom>
              <a:srgbClr val="E1DDD7"/>
            </a:clrFrom>
            <a:clrTo>
              <a:srgbClr val="E1DDD7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142875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95250</xdr:rowOff>
    </xdr:from>
    <xdr:to>
      <xdr:col>3</xdr:col>
      <xdr:colOff>66675</xdr:colOff>
      <xdr:row>4</xdr:row>
      <xdr:rowOff>228600</xdr:rowOff>
    </xdr:to>
    <xdr:grpSp>
      <xdr:nvGrpSpPr>
        <xdr:cNvPr id="7" name="Group 116"/>
        <xdr:cNvGrpSpPr>
          <a:grpSpLocks/>
        </xdr:cNvGrpSpPr>
      </xdr:nvGrpSpPr>
      <xdr:grpSpPr>
        <a:xfrm>
          <a:off x="266700" y="1162050"/>
          <a:ext cx="1828800" cy="447675"/>
          <a:chOff x="21" y="146"/>
          <a:chExt cx="192" cy="34"/>
        </a:xfrm>
        <a:solidFill>
          <a:srgbClr val="FFFFFF"/>
        </a:solidFill>
      </xdr:grpSpPr>
      <xdr:pic macro="[0]!örnek">
        <xdr:nvPicPr>
          <xdr:cNvPr id="8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" y="146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Rectangle 74"/>
          <xdr:cNvSpPr>
            <a:spLocks/>
          </xdr:cNvSpPr>
        </xdr:nvSpPr>
        <xdr:spPr>
          <a:xfrm>
            <a:off x="51" y="149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ÖRNEK 1</a:t>
            </a:r>
          </a:p>
        </xdr:txBody>
      </xdr:sp>
    </xdr:grpSp>
    <xdr:clientData/>
  </xdr:twoCellAnchor>
  <xdr:twoCellAnchor>
    <xdr:from>
      <xdr:col>0</xdr:col>
      <xdr:colOff>266700</xdr:colOff>
      <xdr:row>4</xdr:row>
      <xdr:rowOff>285750</xdr:rowOff>
    </xdr:from>
    <xdr:to>
      <xdr:col>3</xdr:col>
      <xdr:colOff>66675</xdr:colOff>
      <xdr:row>6</xdr:row>
      <xdr:rowOff>0</xdr:rowOff>
    </xdr:to>
    <xdr:grpSp>
      <xdr:nvGrpSpPr>
        <xdr:cNvPr id="10" name="Group 117"/>
        <xdr:cNvGrpSpPr>
          <a:grpSpLocks/>
        </xdr:cNvGrpSpPr>
      </xdr:nvGrpSpPr>
      <xdr:grpSpPr>
        <a:xfrm>
          <a:off x="266700" y="1666875"/>
          <a:ext cx="1828800" cy="342900"/>
          <a:chOff x="21" y="186"/>
          <a:chExt cx="192" cy="34"/>
        </a:xfrm>
        <a:solidFill>
          <a:srgbClr val="FFFFFF"/>
        </a:solidFill>
      </xdr:grpSpPr>
      <xdr:pic>
        <xdr:nvPicPr>
          <xdr:cNvPr id="11" name="Picture 6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" y="186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tangle 81"/>
          <xdr:cNvSpPr>
            <a:spLocks/>
          </xdr:cNvSpPr>
        </xdr:nvSpPr>
        <xdr:spPr>
          <a:xfrm>
            <a:off x="51" y="189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ÖRNEK 2</a:t>
            </a:r>
          </a:p>
        </xdr:txBody>
      </xdr:sp>
    </xdr:grpSp>
    <xdr:clientData/>
  </xdr:twoCellAnchor>
  <xdr:twoCellAnchor>
    <xdr:from>
      <xdr:col>0</xdr:col>
      <xdr:colOff>266700</xdr:colOff>
      <xdr:row>6</xdr:row>
      <xdr:rowOff>57150</xdr:rowOff>
    </xdr:from>
    <xdr:to>
      <xdr:col>3</xdr:col>
      <xdr:colOff>66675</xdr:colOff>
      <xdr:row>7</xdr:row>
      <xdr:rowOff>76200</xdr:rowOff>
    </xdr:to>
    <xdr:grpSp>
      <xdr:nvGrpSpPr>
        <xdr:cNvPr id="13" name="Group 119"/>
        <xdr:cNvGrpSpPr>
          <a:grpSpLocks/>
        </xdr:cNvGrpSpPr>
      </xdr:nvGrpSpPr>
      <xdr:grpSpPr>
        <a:xfrm>
          <a:off x="266700" y="2066925"/>
          <a:ext cx="1828800" cy="333375"/>
          <a:chOff x="21" y="226"/>
          <a:chExt cx="192" cy="34"/>
        </a:xfrm>
        <a:solidFill>
          <a:srgbClr val="FFFFFF"/>
        </a:solidFill>
      </xdr:grpSpPr>
      <xdr:pic macro="[0]!örnek2">
        <xdr:nvPicPr>
          <xdr:cNvPr id="14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" y="226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Rectangle 82"/>
          <xdr:cNvSpPr>
            <a:spLocks/>
          </xdr:cNvSpPr>
        </xdr:nvSpPr>
        <xdr:spPr>
          <a:xfrm>
            <a:off x="49" y="230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ÖRNEK 3</a:t>
            </a:r>
          </a:p>
        </xdr:txBody>
      </xdr:sp>
    </xdr:grpSp>
    <xdr:clientData/>
  </xdr:twoCellAnchor>
  <xdr:twoCellAnchor>
    <xdr:from>
      <xdr:col>0</xdr:col>
      <xdr:colOff>257175</xdr:colOff>
      <xdr:row>7</xdr:row>
      <xdr:rowOff>142875</xdr:rowOff>
    </xdr:from>
    <xdr:to>
      <xdr:col>3</xdr:col>
      <xdr:colOff>57150</xdr:colOff>
      <xdr:row>9</xdr:row>
      <xdr:rowOff>133350</xdr:rowOff>
    </xdr:to>
    <xdr:grpSp>
      <xdr:nvGrpSpPr>
        <xdr:cNvPr id="16" name="Group 184"/>
        <xdr:cNvGrpSpPr>
          <a:grpSpLocks/>
        </xdr:cNvGrpSpPr>
      </xdr:nvGrpSpPr>
      <xdr:grpSpPr>
        <a:xfrm>
          <a:off x="257175" y="2466975"/>
          <a:ext cx="1828800" cy="323850"/>
          <a:chOff x="34" y="326"/>
          <a:chExt cx="248" cy="42"/>
        </a:xfrm>
        <a:solidFill>
          <a:srgbClr val="FFFFFF"/>
        </a:solidFill>
      </xdr:grpSpPr>
      <xdr:pic macro="[0]!sil">
        <xdr:nvPicPr>
          <xdr:cNvPr id="17" name="Picture 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326"/>
            <a:ext cx="248" cy="42"/>
          </a:xfrm>
          <a:prstGeom prst="rect">
            <a:avLst/>
          </a:prstGeom>
          <a:noFill/>
          <a:ln w="9525" cmpd="sng">
            <a:noFill/>
          </a:ln>
        </xdr:spPr>
      </xdr:pic>
      <xdr:sp macro="[0]!sil">
        <xdr:nvSpPr>
          <xdr:cNvPr id="18" name="Rectangle 83"/>
          <xdr:cNvSpPr>
            <a:spLocks/>
          </xdr:cNvSpPr>
        </xdr:nvSpPr>
        <xdr:spPr>
          <a:xfrm>
            <a:off x="72" y="332"/>
            <a:ext cx="166" cy="2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SİL</a:t>
            </a:r>
          </a:p>
        </xdr:txBody>
      </xdr:sp>
    </xdr:grpSp>
    <xdr:clientData/>
  </xdr:twoCellAnchor>
  <xdr:twoCellAnchor>
    <xdr:from>
      <xdr:col>0</xdr:col>
      <xdr:colOff>247650</xdr:colOff>
      <xdr:row>27</xdr:row>
      <xdr:rowOff>104775</xdr:rowOff>
    </xdr:from>
    <xdr:to>
      <xdr:col>3</xdr:col>
      <xdr:colOff>47625</xdr:colOff>
      <xdr:row>29</xdr:row>
      <xdr:rowOff>104775</xdr:rowOff>
    </xdr:to>
    <xdr:grpSp>
      <xdr:nvGrpSpPr>
        <xdr:cNvPr id="19" name="Group 159"/>
        <xdr:cNvGrpSpPr>
          <a:grpSpLocks/>
        </xdr:cNvGrpSpPr>
      </xdr:nvGrpSpPr>
      <xdr:grpSpPr>
        <a:xfrm>
          <a:off x="247650" y="4419600"/>
          <a:ext cx="1828800" cy="323850"/>
          <a:chOff x="26" y="445"/>
          <a:chExt cx="192" cy="34"/>
        </a:xfrm>
        <a:solidFill>
          <a:srgbClr val="FFFFFF"/>
        </a:solidFill>
      </xdr:grpSpPr>
      <xdr:pic macro="[0]!YAZGİT">
        <xdr:nvPicPr>
          <xdr:cNvPr id="20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" y="445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 macro="[0]!YAZGİT">
        <xdr:nvSpPr>
          <xdr:cNvPr id="21" name="Rectangle 84"/>
          <xdr:cNvSpPr>
            <a:spLocks/>
          </xdr:cNvSpPr>
        </xdr:nvSpPr>
        <xdr:spPr>
          <a:xfrm>
            <a:off x="54" y="449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YAZDIR</a:t>
            </a:r>
          </a:p>
        </xdr:txBody>
      </xdr:sp>
    </xdr:grpSp>
    <xdr:clientData/>
  </xdr:twoCellAnchor>
  <xdr:twoCellAnchor>
    <xdr:from>
      <xdr:col>0</xdr:col>
      <xdr:colOff>257175</xdr:colOff>
      <xdr:row>12</xdr:row>
      <xdr:rowOff>104775</xdr:rowOff>
    </xdr:from>
    <xdr:to>
      <xdr:col>3</xdr:col>
      <xdr:colOff>57150</xdr:colOff>
      <xdr:row>17</xdr:row>
      <xdr:rowOff>38100</xdr:rowOff>
    </xdr:to>
    <xdr:grpSp>
      <xdr:nvGrpSpPr>
        <xdr:cNvPr id="22" name="Group 145"/>
        <xdr:cNvGrpSpPr>
          <a:grpSpLocks/>
        </xdr:cNvGrpSpPr>
      </xdr:nvGrpSpPr>
      <xdr:grpSpPr>
        <a:xfrm>
          <a:off x="257175" y="3248025"/>
          <a:ext cx="1828800" cy="323850"/>
          <a:chOff x="23" y="282"/>
          <a:chExt cx="192" cy="34"/>
        </a:xfrm>
        <a:solidFill>
          <a:srgbClr val="FFFFFF"/>
        </a:solidFill>
      </xdr:grpSpPr>
      <xdr:pic macro="[0]!ana">
        <xdr:nvPicPr>
          <xdr:cNvPr id="23" name="Picture 6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" y="282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Rectangle 85"/>
          <xdr:cNvSpPr>
            <a:spLocks/>
          </xdr:cNvSpPr>
        </xdr:nvSpPr>
        <xdr:spPr>
          <a:xfrm>
            <a:off x="51" y="286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E.S.E.</a:t>
            </a:r>
          </a:p>
        </xdr:txBody>
      </xdr:sp>
    </xdr:grpSp>
    <xdr:clientData/>
  </xdr:twoCellAnchor>
  <xdr:twoCellAnchor>
    <xdr:from>
      <xdr:col>5</xdr:col>
      <xdr:colOff>9525</xdr:colOff>
      <xdr:row>12</xdr:row>
      <xdr:rowOff>114300</xdr:rowOff>
    </xdr:from>
    <xdr:to>
      <xdr:col>7</xdr:col>
      <xdr:colOff>1228725</xdr:colOff>
      <xdr:row>27</xdr:row>
      <xdr:rowOff>123825</xdr:rowOff>
    </xdr:to>
    <xdr:sp>
      <xdr:nvSpPr>
        <xdr:cNvPr id="25" name="Rectangle 97"/>
        <xdr:cNvSpPr>
          <a:spLocks/>
        </xdr:cNvSpPr>
      </xdr:nvSpPr>
      <xdr:spPr>
        <a:xfrm>
          <a:off x="3333750" y="3257550"/>
          <a:ext cx="4514850" cy="1181100"/>
        </a:xfrm>
        <a:prstGeom prst="rect">
          <a:avLst/>
        </a:prstGeom>
        <a:solidFill>
          <a:srgbClr val="0028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</a:t>
          </a:r>
          <a:r>
            <a:rPr lang="en-US" cap="none" sz="10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ELEKTROMEKANİK  İNŞAAT  SANAYİ
         TİCARET   ANONİM   ŞİRKETİ                TEL: (312) 324 48 11 - 12</a:t>
          </a:r>
        </a:p>
      </xdr:txBody>
    </xdr:sp>
    <xdr:clientData/>
  </xdr:twoCellAnchor>
  <xdr:twoCellAnchor>
    <xdr:from>
      <xdr:col>7</xdr:col>
      <xdr:colOff>219075</xdr:colOff>
      <xdr:row>13</xdr:row>
      <xdr:rowOff>9525</xdr:rowOff>
    </xdr:from>
    <xdr:to>
      <xdr:col>7</xdr:col>
      <xdr:colOff>923925</xdr:colOff>
      <xdr:row>22</xdr:row>
      <xdr:rowOff>76200</xdr:rowOff>
    </xdr:to>
    <xdr:sp>
      <xdr:nvSpPr>
        <xdr:cNvPr id="26" name="Rectangle 98"/>
        <xdr:cNvSpPr>
          <a:spLocks/>
        </xdr:cNvSpPr>
      </xdr:nvSpPr>
      <xdr:spPr>
        <a:xfrm>
          <a:off x="6838950" y="3314700"/>
          <a:ext cx="704850" cy="6858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47625</xdr:colOff>
      <xdr:row>13</xdr:row>
      <xdr:rowOff>9525</xdr:rowOff>
    </xdr:from>
    <xdr:to>
      <xdr:col>6</xdr:col>
      <xdr:colOff>1238250</xdr:colOff>
      <xdr:row>22</xdr:row>
      <xdr:rowOff>0</xdr:rowOff>
    </xdr:to>
    <xdr:pic>
      <xdr:nvPicPr>
        <xdr:cNvPr id="27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3314700"/>
          <a:ext cx="243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18</xdr:row>
      <xdr:rowOff>38100</xdr:rowOff>
    </xdr:from>
    <xdr:to>
      <xdr:col>3</xdr:col>
      <xdr:colOff>57150</xdr:colOff>
      <xdr:row>22</xdr:row>
      <xdr:rowOff>38100</xdr:rowOff>
    </xdr:to>
    <xdr:grpSp>
      <xdr:nvGrpSpPr>
        <xdr:cNvPr id="28" name="Group 131"/>
        <xdr:cNvGrpSpPr>
          <a:grpSpLocks/>
        </xdr:cNvGrpSpPr>
      </xdr:nvGrpSpPr>
      <xdr:grpSpPr>
        <a:xfrm>
          <a:off x="257175" y="3629025"/>
          <a:ext cx="1828800" cy="333375"/>
          <a:chOff x="23" y="321"/>
          <a:chExt cx="192" cy="34"/>
        </a:xfrm>
        <a:solidFill>
          <a:srgbClr val="FFFFFF"/>
        </a:solidFill>
      </xdr:grpSpPr>
      <xdr:pic macro="[0]!faraday">
        <xdr:nvPicPr>
          <xdr:cNvPr id="29" name="Picture 12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" y="321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" name="Rectangle 126"/>
          <xdr:cNvSpPr>
            <a:spLocks/>
          </xdr:cNvSpPr>
        </xdr:nvSpPr>
        <xdr:spPr>
          <a:xfrm>
            <a:off x="51" y="325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FARADAY</a:t>
            </a:r>
          </a:p>
        </xdr:txBody>
      </xdr:sp>
    </xdr:grpSp>
    <xdr:clientData/>
  </xdr:twoCellAnchor>
  <xdr:twoCellAnchor>
    <xdr:from>
      <xdr:col>0</xdr:col>
      <xdr:colOff>257175</xdr:colOff>
      <xdr:row>22</xdr:row>
      <xdr:rowOff>104775</xdr:rowOff>
    </xdr:from>
    <xdr:to>
      <xdr:col>3</xdr:col>
      <xdr:colOff>57150</xdr:colOff>
      <xdr:row>27</xdr:row>
      <xdr:rowOff>38100</xdr:rowOff>
    </xdr:to>
    <xdr:grpSp>
      <xdr:nvGrpSpPr>
        <xdr:cNvPr id="31" name="Group 132"/>
        <xdr:cNvGrpSpPr>
          <a:grpSpLocks/>
        </xdr:cNvGrpSpPr>
      </xdr:nvGrpSpPr>
      <xdr:grpSpPr>
        <a:xfrm>
          <a:off x="257175" y="4029075"/>
          <a:ext cx="1828800" cy="323850"/>
          <a:chOff x="23" y="361"/>
          <a:chExt cx="192" cy="34"/>
        </a:xfrm>
        <a:solidFill>
          <a:srgbClr val="FFFFFF"/>
        </a:solidFill>
      </xdr:grpSpPr>
      <xdr:pic macro="[0]!ana">
        <xdr:nvPicPr>
          <xdr:cNvPr id="32" name="Picture 1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" y="361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Rectangle 129"/>
          <xdr:cNvSpPr>
            <a:spLocks/>
          </xdr:cNvSpPr>
        </xdr:nvSpPr>
        <xdr:spPr>
          <a:xfrm>
            <a:off x="51" y="365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FRANKLİN</a:t>
            </a:r>
          </a:p>
        </xdr:txBody>
      </xdr:sp>
    </xdr:grpSp>
    <xdr:clientData/>
  </xdr:twoCellAnchor>
  <xdr:twoCellAnchor>
    <xdr:from>
      <xdr:col>4</xdr:col>
      <xdr:colOff>295275</xdr:colOff>
      <xdr:row>22</xdr:row>
      <xdr:rowOff>104775</xdr:rowOff>
    </xdr:from>
    <xdr:to>
      <xdr:col>4</xdr:col>
      <xdr:colOff>704850</xdr:colOff>
      <xdr:row>27</xdr:row>
      <xdr:rowOff>76200</xdr:rowOff>
    </xdr:to>
    <xdr:grpSp>
      <xdr:nvGrpSpPr>
        <xdr:cNvPr id="34" name="Group 150"/>
        <xdr:cNvGrpSpPr>
          <a:grpSpLocks/>
        </xdr:cNvGrpSpPr>
      </xdr:nvGrpSpPr>
      <xdr:grpSpPr>
        <a:xfrm>
          <a:off x="2571750" y="4029075"/>
          <a:ext cx="409575" cy="361950"/>
          <a:chOff x="253" y="355"/>
          <a:chExt cx="43" cy="38"/>
        </a:xfrm>
        <a:solidFill>
          <a:srgbClr val="FFFFFF"/>
        </a:solidFill>
      </xdr:grpSpPr>
      <xdr:pic macro="[0]!BAŞLA">
        <xdr:nvPicPr>
          <xdr:cNvPr id="35" name="Picture 114"/>
          <xdr:cNvPicPr preferRelativeResize="1">
            <a:picLocks noChangeAspect="1"/>
          </xdr:cNvPicPr>
        </xdr:nvPicPr>
        <xdr:blipFill>
          <a:blip r:embed="rId4"/>
          <a:srcRect t="49137" b="25430"/>
          <a:stretch>
            <a:fillRect/>
          </a:stretch>
        </xdr:blipFill>
        <xdr:spPr>
          <a:xfrm>
            <a:off x="253" y="355"/>
            <a:ext cx="43" cy="3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6" name="Oval 134"/>
          <xdr:cNvSpPr>
            <a:spLocks/>
          </xdr:cNvSpPr>
        </xdr:nvSpPr>
        <xdr:spPr>
          <a:xfrm>
            <a:off x="257" y="356"/>
            <a:ext cx="29" cy="29"/>
          </a:xfrm>
          <a:prstGeom prst="ellipse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4</xdr:col>
      <xdr:colOff>295275</xdr:colOff>
      <xdr:row>27</xdr:row>
      <xdr:rowOff>76200</xdr:rowOff>
    </xdr:from>
    <xdr:to>
      <xdr:col>4</xdr:col>
      <xdr:colOff>657225</xdr:colOff>
      <xdr:row>29</xdr:row>
      <xdr:rowOff>133350</xdr:rowOff>
    </xdr:to>
    <xdr:grpSp>
      <xdr:nvGrpSpPr>
        <xdr:cNvPr id="37" name="Group 137"/>
        <xdr:cNvGrpSpPr>
          <a:grpSpLocks/>
        </xdr:cNvGrpSpPr>
      </xdr:nvGrpSpPr>
      <xdr:grpSpPr>
        <a:xfrm>
          <a:off x="2571750" y="4391025"/>
          <a:ext cx="361950" cy="381000"/>
          <a:chOff x="255" y="393"/>
          <a:chExt cx="38" cy="40"/>
        </a:xfrm>
        <a:solidFill>
          <a:srgbClr val="FFFFFF"/>
        </a:solidFill>
      </xdr:grpSpPr>
      <xdr:pic macro="[0]!yüz">
        <xdr:nvPicPr>
          <xdr:cNvPr id="38" name="Picture 115"/>
          <xdr:cNvPicPr preferRelativeResize="1">
            <a:picLocks noChangeAspect="1"/>
          </xdr:cNvPicPr>
        </xdr:nvPicPr>
        <xdr:blipFill>
          <a:blip r:embed="rId4"/>
          <a:srcRect t="73275" r="12121"/>
          <a:stretch>
            <a:fillRect/>
          </a:stretch>
        </xdr:blipFill>
        <xdr:spPr>
          <a:xfrm>
            <a:off x="255" y="393"/>
            <a:ext cx="38" cy="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" name="Oval 135"/>
          <xdr:cNvSpPr>
            <a:spLocks/>
          </xdr:cNvSpPr>
        </xdr:nvSpPr>
        <xdr:spPr>
          <a:xfrm>
            <a:off x="257" y="396"/>
            <a:ext cx="29" cy="29"/>
          </a:xfrm>
          <a:prstGeom prst="ellipse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7</xdr:col>
      <xdr:colOff>390525</xdr:colOff>
      <xdr:row>1</xdr:row>
      <xdr:rowOff>304800</xdr:rowOff>
    </xdr:from>
    <xdr:to>
      <xdr:col>7</xdr:col>
      <xdr:colOff>876300</xdr:colOff>
      <xdr:row>2</xdr:row>
      <xdr:rowOff>123825</xdr:rowOff>
    </xdr:to>
    <xdr:sp>
      <xdr:nvSpPr>
        <xdr:cNvPr id="40" name="AutoShape 140"/>
        <xdr:cNvSpPr>
          <a:spLocks/>
        </xdr:cNvSpPr>
      </xdr:nvSpPr>
      <xdr:spPr>
        <a:xfrm rot="5414147">
          <a:off x="7010400" y="571500"/>
          <a:ext cx="485775" cy="447675"/>
        </a:xfrm>
        <a:prstGeom prst="stripedRightArrow">
          <a:avLst>
            <a:gd name="adj1" fmla="val 27240"/>
            <a:gd name="adj2" fmla="val -28162"/>
          </a:avLst>
        </a:prstGeom>
        <a:solidFill>
          <a:srgbClr val="FFCC00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123825</xdr:rowOff>
    </xdr:from>
    <xdr:to>
      <xdr:col>7</xdr:col>
      <xdr:colOff>1228725</xdr:colOff>
      <xdr:row>38</xdr:row>
      <xdr:rowOff>142875</xdr:rowOff>
    </xdr:to>
    <xdr:sp>
      <xdr:nvSpPr>
        <xdr:cNvPr id="41" name="Rectangle 148"/>
        <xdr:cNvSpPr>
          <a:spLocks/>
        </xdr:cNvSpPr>
      </xdr:nvSpPr>
      <xdr:spPr>
        <a:xfrm>
          <a:off x="3333750" y="4438650"/>
          <a:ext cx="4514850" cy="180022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000000"/>
            </a:gs>
            <a:gs pos="100000">
              <a:srgbClr val="99CCFF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133350</xdr:rowOff>
    </xdr:from>
    <xdr:to>
      <xdr:col>8</xdr:col>
      <xdr:colOff>114300</xdr:colOff>
      <xdr:row>1</xdr:row>
      <xdr:rowOff>323850</xdr:rowOff>
    </xdr:to>
    <xdr:sp>
      <xdr:nvSpPr>
        <xdr:cNvPr id="42" name="Rectangle 149"/>
        <xdr:cNvSpPr>
          <a:spLocks/>
        </xdr:cNvSpPr>
      </xdr:nvSpPr>
      <xdr:spPr>
        <a:xfrm>
          <a:off x="6667500" y="400050"/>
          <a:ext cx="131445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BURADAN BAŞLA</a:t>
          </a:r>
        </a:p>
      </xdr:txBody>
    </xdr:sp>
    <xdr:clientData/>
  </xdr:twoCellAnchor>
  <xdr:twoCellAnchor>
    <xdr:from>
      <xdr:col>5</xdr:col>
      <xdr:colOff>28575</xdr:colOff>
      <xdr:row>0</xdr:row>
      <xdr:rowOff>38100</xdr:rowOff>
    </xdr:from>
    <xdr:to>
      <xdr:col>7</xdr:col>
      <xdr:colOff>1181100</xdr:colOff>
      <xdr:row>1</xdr:row>
      <xdr:rowOff>0</xdr:rowOff>
    </xdr:to>
    <xdr:sp>
      <xdr:nvSpPr>
        <xdr:cNvPr id="43" name="Rectangle 151"/>
        <xdr:cNvSpPr>
          <a:spLocks/>
        </xdr:cNvSpPr>
      </xdr:nvSpPr>
      <xdr:spPr>
        <a:xfrm>
          <a:off x="3352800" y="38100"/>
          <a:ext cx="4448175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YILDIRIMLIK VE KORUMA SEVİYESİ SEÇİMİ</a:t>
          </a:r>
        </a:p>
      </xdr:txBody>
    </xdr:sp>
    <xdr:clientData/>
  </xdr:twoCellAnchor>
  <xdr:twoCellAnchor>
    <xdr:from>
      <xdr:col>5</xdr:col>
      <xdr:colOff>1238250</xdr:colOff>
      <xdr:row>28</xdr:row>
      <xdr:rowOff>85725</xdr:rowOff>
    </xdr:from>
    <xdr:to>
      <xdr:col>6</xdr:col>
      <xdr:colOff>1981200</xdr:colOff>
      <xdr:row>30</xdr:row>
      <xdr:rowOff>0</xdr:rowOff>
    </xdr:to>
    <xdr:sp>
      <xdr:nvSpPr>
        <xdr:cNvPr id="44" name="Rectangle 152">
          <a:hlinkClick r:id="rId5"/>
        </xdr:cNvPr>
        <xdr:cNvSpPr>
          <a:spLocks/>
        </xdr:cNvSpPr>
      </xdr:nvSpPr>
      <xdr:spPr>
        <a:xfrm>
          <a:off x="4562475" y="4562475"/>
          <a:ext cx="1990725" cy="2381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http://www.radsan.com/</a:t>
          </a:r>
        </a:p>
      </xdr:txBody>
    </xdr:sp>
    <xdr:clientData/>
  </xdr:twoCellAnchor>
  <xdr:twoCellAnchor>
    <xdr:from>
      <xdr:col>5</xdr:col>
      <xdr:colOff>1228725</xdr:colOff>
      <xdr:row>30</xdr:row>
      <xdr:rowOff>38100</xdr:rowOff>
    </xdr:from>
    <xdr:to>
      <xdr:col>6</xdr:col>
      <xdr:colOff>1971675</xdr:colOff>
      <xdr:row>31</xdr:row>
      <xdr:rowOff>114300</xdr:rowOff>
    </xdr:to>
    <xdr:sp>
      <xdr:nvSpPr>
        <xdr:cNvPr id="45" name="Rectangle 154">
          <a:hlinkClick r:id="rId6"/>
        </xdr:cNvPr>
        <xdr:cNvSpPr>
          <a:spLocks/>
        </xdr:cNvSpPr>
      </xdr:nvSpPr>
      <xdr:spPr>
        <a:xfrm>
          <a:off x="4552950" y="4838700"/>
          <a:ext cx="1990725" cy="2381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mail to: radsan@radsan.com</a:t>
          </a:r>
        </a:p>
      </xdr:txBody>
    </xdr:sp>
    <xdr:clientData/>
  </xdr:twoCellAnchor>
  <xdr:twoCellAnchor>
    <xdr:from>
      <xdr:col>0</xdr:col>
      <xdr:colOff>285750</xdr:colOff>
      <xdr:row>10</xdr:row>
      <xdr:rowOff>38100</xdr:rowOff>
    </xdr:from>
    <xdr:to>
      <xdr:col>3</xdr:col>
      <xdr:colOff>85725</xdr:colOff>
      <xdr:row>12</xdr:row>
      <xdr:rowOff>38100</xdr:rowOff>
    </xdr:to>
    <xdr:grpSp>
      <xdr:nvGrpSpPr>
        <xdr:cNvPr id="46" name="Group 163"/>
        <xdr:cNvGrpSpPr>
          <a:grpSpLocks/>
        </xdr:cNvGrpSpPr>
      </xdr:nvGrpSpPr>
      <xdr:grpSpPr>
        <a:xfrm>
          <a:off x="285750" y="2857500"/>
          <a:ext cx="1828800" cy="323850"/>
          <a:chOff x="30" y="284"/>
          <a:chExt cx="192" cy="34"/>
        </a:xfrm>
        <a:solidFill>
          <a:srgbClr val="FFFFFF"/>
        </a:solidFill>
      </xdr:grpSpPr>
      <xdr:pic>
        <xdr:nvPicPr>
          <xdr:cNvPr id="47" name="Picture 16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" y="284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8" name="Rectangle 162"/>
          <xdr:cNvSpPr>
            <a:spLocks/>
          </xdr:cNvSpPr>
        </xdr:nvSpPr>
        <xdr:spPr>
          <a:xfrm>
            <a:off x="58" y="287"/>
            <a:ext cx="130" cy="2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METOD SEÇİMİ</a:t>
            </a:r>
          </a:p>
        </xdr:txBody>
      </xdr:sp>
    </xdr:grpSp>
    <xdr:clientData/>
  </xdr:twoCellAnchor>
  <xdr:oneCellAnchor>
    <xdr:from>
      <xdr:col>4</xdr:col>
      <xdr:colOff>238125</xdr:colOff>
      <xdr:row>30</xdr:row>
      <xdr:rowOff>19050</xdr:rowOff>
    </xdr:from>
    <xdr:ext cx="438150" cy="209550"/>
    <xdr:sp>
      <xdr:nvSpPr>
        <xdr:cNvPr id="49" name="TextBox 176"/>
        <xdr:cNvSpPr txBox="1">
          <a:spLocks noChangeArrowheads="1"/>
        </xdr:cNvSpPr>
      </xdr:nvSpPr>
      <xdr:spPr>
        <a:xfrm>
          <a:off x="2514600" y="4819650"/>
          <a:ext cx="43815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ÖZET</a:t>
          </a:r>
        </a:p>
      </xdr:txBody>
    </xdr:sp>
    <xdr:clientData/>
  </xdr:oneCellAnchor>
  <xdr:twoCellAnchor>
    <xdr:from>
      <xdr:col>4</xdr:col>
      <xdr:colOff>76200</xdr:colOff>
      <xdr:row>17</xdr:row>
      <xdr:rowOff>9525</xdr:rowOff>
    </xdr:from>
    <xdr:to>
      <xdr:col>5</xdr:col>
      <xdr:colOff>19050</xdr:colOff>
      <xdr:row>22</xdr:row>
      <xdr:rowOff>19050</xdr:rowOff>
    </xdr:to>
    <xdr:grpSp>
      <xdr:nvGrpSpPr>
        <xdr:cNvPr id="50" name="Group 179"/>
        <xdr:cNvGrpSpPr>
          <a:grpSpLocks/>
        </xdr:cNvGrpSpPr>
      </xdr:nvGrpSpPr>
      <xdr:grpSpPr>
        <a:xfrm>
          <a:off x="2352675" y="3543300"/>
          <a:ext cx="990600" cy="400050"/>
          <a:chOff x="841" y="441"/>
          <a:chExt cx="104" cy="42"/>
        </a:xfrm>
        <a:solidFill>
          <a:srgbClr val="FFFFFF"/>
        </a:solidFill>
      </xdr:grpSpPr>
      <xdr:pic macro="[0]!OZET">
        <xdr:nvPicPr>
          <xdr:cNvPr id="51" name="Picture 174"/>
          <xdr:cNvPicPr preferRelativeResize="1">
            <a:picLocks noChangeAspect="1"/>
          </xdr:cNvPicPr>
        </xdr:nvPicPr>
        <xdr:blipFill>
          <a:blip r:embed="rId4"/>
          <a:srcRect t="25009" b="50473"/>
          <a:stretch>
            <a:fillRect/>
          </a:stretch>
        </xdr:blipFill>
        <xdr:spPr>
          <a:xfrm>
            <a:off x="841" y="441"/>
            <a:ext cx="104" cy="42"/>
          </a:xfrm>
          <a:prstGeom prst="rect">
            <a:avLst/>
          </a:prstGeom>
          <a:noFill/>
          <a:ln w="9525" cmpd="sng">
            <a:noFill/>
          </a:ln>
        </xdr:spPr>
      </xdr:pic>
      <xdr:sp macro="[0]!OZET">
        <xdr:nvSpPr>
          <xdr:cNvPr id="52" name="TextBox 177"/>
          <xdr:cNvSpPr txBox="1">
            <a:spLocks noChangeArrowheads="1"/>
          </xdr:cNvSpPr>
        </xdr:nvSpPr>
        <xdr:spPr>
          <a:xfrm>
            <a:off x="864" y="450"/>
            <a:ext cx="46" cy="2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ÖZET</a:t>
            </a:r>
          </a:p>
        </xdr:txBody>
      </xdr:sp>
    </xdr:grpSp>
    <xdr:clientData/>
  </xdr:twoCellAnchor>
  <xdr:twoCellAnchor>
    <xdr:from>
      <xdr:col>5</xdr:col>
      <xdr:colOff>28575</xdr:colOff>
      <xdr:row>3</xdr:row>
      <xdr:rowOff>0</xdr:rowOff>
    </xdr:from>
    <xdr:to>
      <xdr:col>7</xdr:col>
      <xdr:colOff>19050</xdr:colOff>
      <xdr:row>4</xdr:row>
      <xdr:rowOff>0</xdr:rowOff>
    </xdr:to>
    <xdr:sp>
      <xdr:nvSpPr>
        <xdr:cNvPr id="53" name="Rectangle 180"/>
        <xdr:cNvSpPr>
          <a:spLocks/>
        </xdr:cNvSpPr>
      </xdr:nvSpPr>
      <xdr:spPr>
        <a:xfrm>
          <a:off x="3352800" y="1066800"/>
          <a:ext cx="3286125" cy="3143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99CCFF"/>
            </a:gs>
            <a:gs pos="100000">
              <a:srgbClr val="000000"/>
            </a:gs>
          </a:gsLst>
          <a:lin ang="0" scaled="1"/>
        </a:gra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Ng max</a:t>
          </a:r>
        </a:p>
      </xdr:txBody>
    </xdr:sp>
    <xdr:clientData/>
  </xdr:twoCellAnchor>
  <xdr:oneCellAnchor>
    <xdr:from>
      <xdr:col>8</xdr:col>
      <xdr:colOff>28575</xdr:colOff>
      <xdr:row>7</xdr:row>
      <xdr:rowOff>9525</xdr:rowOff>
    </xdr:from>
    <xdr:ext cx="1038225" cy="2286000"/>
    <xdr:sp>
      <xdr:nvSpPr>
        <xdr:cNvPr id="54" name="TextBox 181"/>
        <xdr:cNvSpPr txBox="1">
          <a:spLocks noChangeArrowheads="1"/>
        </xdr:cNvSpPr>
      </xdr:nvSpPr>
      <xdr:spPr>
        <a:xfrm>
          <a:off x="7896225" y="2333625"/>
          <a:ext cx="1038225" cy="22860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Ng max Türkiye ortalaması 2 dir.  Farklı değerler için Türkiye Yıldırımlı Gün Haritasından seçim yapabilirsiniz. Değer girilmediği takdirde program Ngmax değerini 2 olarak alacaktır.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6</xdr:row>
      <xdr:rowOff>85725</xdr:rowOff>
    </xdr:from>
    <xdr:to>
      <xdr:col>14</xdr:col>
      <xdr:colOff>561975</xdr:colOff>
      <xdr:row>21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085850"/>
          <a:ext cx="7143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10</xdr:row>
      <xdr:rowOff>85725</xdr:rowOff>
    </xdr:from>
    <xdr:to>
      <xdr:col>7</xdr:col>
      <xdr:colOff>104775</xdr:colOff>
      <xdr:row>17</xdr:row>
      <xdr:rowOff>123825</xdr:rowOff>
    </xdr:to>
    <xdr:sp>
      <xdr:nvSpPr>
        <xdr:cNvPr id="2" name="AutoShape 17"/>
        <xdr:cNvSpPr>
          <a:spLocks/>
        </xdr:cNvSpPr>
      </xdr:nvSpPr>
      <xdr:spPr>
        <a:xfrm rot="10800000" flipV="1">
          <a:off x="2371725" y="1819275"/>
          <a:ext cx="2667000" cy="1171575"/>
        </a:xfrm>
        <a:prstGeom prst="bentConnector3">
          <a:avLst>
            <a:gd name="adj1" fmla="val 100000"/>
            <a:gd name="adj2" fmla="val 155282"/>
            <a:gd name="adj3" fmla="val -188930"/>
          </a:avLst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85725</xdr:rowOff>
    </xdr:from>
    <xdr:to>
      <xdr:col>11</xdr:col>
      <xdr:colOff>38100</xdr:colOff>
      <xdr:row>17</xdr:row>
      <xdr:rowOff>142875</xdr:rowOff>
    </xdr:to>
    <xdr:sp>
      <xdr:nvSpPr>
        <xdr:cNvPr id="3" name="AutoShape 18"/>
        <xdr:cNvSpPr>
          <a:spLocks/>
        </xdr:cNvSpPr>
      </xdr:nvSpPr>
      <xdr:spPr>
        <a:xfrm>
          <a:off x="4972050" y="1819275"/>
          <a:ext cx="2600325" cy="1190625"/>
        </a:xfrm>
        <a:prstGeom prst="bentConnector2">
          <a:avLst>
            <a:gd name="adj1" fmla="val -241208"/>
            <a:gd name="adj2" fmla="val -202800"/>
            <a:gd name="adj3" fmla="val -241208"/>
          </a:avLst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17</xdr:row>
      <xdr:rowOff>104775</xdr:rowOff>
    </xdr:to>
    <xdr:sp>
      <xdr:nvSpPr>
        <xdr:cNvPr id="4" name="Line 19"/>
        <xdr:cNvSpPr>
          <a:spLocks/>
        </xdr:cNvSpPr>
      </xdr:nvSpPr>
      <xdr:spPr>
        <a:xfrm flipH="1">
          <a:off x="4933950" y="1419225"/>
          <a:ext cx="0" cy="1552575"/>
        </a:xfrm>
        <a:prstGeom prst="line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47625</xdr:rowOff>
    </xdr:from>
    <xdr:to>
      <xdr:col>6</xdr:col>
      <xdr:colOff>228600</xdr:colOff>
      <xdr:row>26</xdr:row>
      <xdr:rowOff>114300</xdr:rowOff>
    </xdr:to>
    <xdr:sp macro="[0]!fakc5">
      <xdr:nvSpPr>
        <xdr:cNvPr id="5" name="AutoShape 28"/>
        <xdr:cNvSpPr>
          <a:spLocks/>
        </xdr:cNvSpPr>
      </xdr:nvSpPr>
      <xdr:spPr>
        <a:xfrm flipH="1">
          <a:off x="3886200" y="3990975"/>
          <a:ext cx="504825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4</xdr:col>
      <xdr:colOff>47625</xdr:colOff>
      <xdr:row>21</xdr:row>
      <xdr:rowOff>76200</xdr:rowOff>
    </xdr:to>
    <xdr:grpSp>
      <xdr:nvGrpSpPr>
        <xdr:cNvPr id="6" name="Group 34"/>
        <xdr:cNvGrpSpPr>
          <a:grpSpLocks/>
        </xdr:cNvGrpSpPr>
      </xdr:nvGrpSpPr>
      <xdr:grpSpPr>
        <a:xfrm>
          <a:off x="1752600" y="3057525"/>
          <a:ext cx="1238250" cy="533400"/>
          <a:chOff x="184" y="304"/>
          <a:chExt cx="130" cy="56"/>
        </a:xfrm>
        <a:solidFill>
          <a:srgbClr val="FFFFFF"/>
        </a:solidFill>
      </xdr:grpSpPr>
      <xdr:pic macro="[0]!koru">
        <xdr:nvPicPr>
          <xdr:cNvPr id="7" name="Picture 14"/>
          <xdr:cNvPicPr preferRelativeResize="1">
            <a:picLocks noChangeAspect="1"/>
          </xdr:cNvPicPr>
        </xdr:nvPicPr>
        <xdr:blipFill>
          <a:blip r:embed="rId2"/>
          <a:srcRect b="67999"/>
          <a:stretch>
            <a:fillRect/>
          </a:stretch>
        </xdr:blipFill>
        <xdr:spPr>
          <a:xfrm>
            <a:off x="184" y="304"/>
            <a:ext cx="130" cy="56"/>
          </a:xfrm>
          <a:prstGeom prst="rect">
            <a:avLst/>
          </a:prstGeom>
          <a:noFill/>
          <a:ln w="9525" cmpd="sng">
            <a:noFill/>
          </a:ln>
        </xdr:spPr>
      </xdr:pic>
      <xdr:sp macro="[0]!koru">
        <xdr:nvSpPr>
          <xdr:cNvPr id="8" name="Oval 31"/>
          <xdr:cNvSpPr>
            <a:spLocks/>
          </xdr:cNvSpPr>
        </xdr:nvSpPr>
        <xdr:spPr>
          <a:xfrm>
            <a:off x="190" y="316"/>
            <a:ext cx="116" cy="42"/>
          </a:xfrm>
          <a:prstGeom prst="ellipse">
            <a:avLst/>
          </a:prstGeom>
          <a:noFill/>
          <a:ln w="6350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rPr>
              <a:t>E.S.E</a:t>
            </a:r>
          </a:p>
        </xdr:txBody>
      </xdr:sp>
    </xdr:grpSp>
    <xdr:clientData/>
  </xdr:twoCellAnchor>
  <xdr:twoCellAnchor>
    <xdr:from>
      <xdr:col>6</xdr:col>
      <xdr:colOff>142875</xdr:colOff>
      <xdr:row>17</xdr:row>
      <xdr:rowOff>114300</xdr:rowOff>
    </xdr:from>
    <xdr:to>
      <xdr:col>7</xdr:col>
      <xdr:colOff>609600</xdr:colOff>
      <xdr:row>21</xdr:row>
      <xdr:rowOff>76200</xdr:rowOff>
    </xdr:to>
    <xdr:grpSp>
      <xdr:nvGrpSpPr>
        <xdr:cNvPr id="9" name="Group 35"/>
        <xdr:cNvGrpSpPr>
          <a:grpSpLocks/>
        </xdr:cNvGrpSpPr>
      </xdr:nvGrpSpPr>
      <xdr:grpSpPr>
        <a:xfrm>
          <a:off x="4305300" y="2981325"/>
          <a:ext cx="1238250" cy="609600"/>
          <a:chOff x="452" y="296"/>
          <a:chExt cx="130" cy="64"/>
        </a:xfrm>
        <a:solidFill>
          <a:srgbClr val="FFFFFF"/>
        </a:solidFill>
      </xdr:grpSpPr>
      <xdr:pic macro="[0]!faraday">
        <xdr:nvPicPr>
          <xdr:cNvPr id="10" name="Picture 15"/>
          <xdr:cNvPicPr preferRelativeResize="1">
            <a:picLocks noChangeAspect="1"/>
          </xdr:cNvPicPr>
        </xdr:nvPicPr>
        <xdr:blipFill>
          <a:blip r:embed="rId2"/>
          <a:srcRect t="63429"/>
          <a:stretch>
            <a:fillRect/>
          </a:stretch>
        </xdr:blipFill>
        <xdr:spPr>
          <a:xfrm>
            <a:off x="452" y="296"/>
            <a:ext cx="130" cy="64"/>
          </a:xfrm>
          <a:prstGeom prst="rect">
            <a:avLst/>
          </a:prstGeom>
          <a:noFill/>
          <a:ln w="9525" cmpd="sng">
            <a:noFill/>
          </a:ln>
        </xdr:spPr>
      </xdr:pic>
      <xdr:sp macro="[0]!faraday">
        <xdr:nvSpPr>
          <xdr:cNvPr id="11" name="Oval 32"/>
          <xdr:cNvSpPr>
            <a:spLocks/>
          </xdr:cNvSpPr>
        </xdr:nvSpPr>
        <xdr:spPr>
          <a:xfrm>
            <a:off x="460" y="310"/>
            <a:ext cx="116" cy="42"/>
          </a:xfrm>
          <a:prstGeom prst="ellipse">
            <a:avLst/>
          </a:prstGeom>
          <a:noFill/>
          <a:ln w="6350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rPr>
              <a:t>FARADAY</a:t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 macro="[0]!koru">
      <xdr:nvSpPr>
        <xdr:cNvPr id="12" name="Rectangle 37"/>
        <xdr:cNvSpPr>
          <a:spLocks/>
        </xdr:cNvSpPr>
      </xdr:nvSpPr>
      <xdr:spPr>
        <a:xfrm>
          <a:off x="1114425" y="3514725"/>
          <a:ext cx="2438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 macro="[0]!faraday">
      <xdr:nvSpPr>
        <xdr:cNvPr id="13" name="Rectangle 38"/>
        <xdr:cNvSpPr>
          <a:spLocks/>
        </xdr:cNvSpPr>
      </xdr:nvSpPr>
      <xdr:spPr>
        <a:xfrm>
          <a:off x="3552825" y="3514725"/>
          <a:ext cx="2762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 macro="[0]!franklin">
      <xdr:nvSpPr>
        <xdr:cNvPr id="14" name="Rectangle 39"/>
        <xdr:cNvSpPr>
          <a:spLocks/>
        </xdr:cNvSpPr>
      </xdr:nvSpPr>
      <xdr:spPr>
        <a:xfrm>
          <a:off x="6315075" y="3514725"/>
          <a:ext cx="2438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142875</xdr:rowOff>
    </xdr:from>
    <xdr:to>
      <xdr:col>12</xdr:col>
      <xdr:colOff>47625</xdr:colOff>
      <xdr:row>21</xdr:row>
      <xdr:rowOff>76200</xdr:rowOff>
    </xdr:to>
    <xdr:grpSp>
      <xdr:nvGrpSpPr>
        <xdr:cNvPr id="15" name="Group 45"/>
        <xdr:cNvGrpSpPr>
          <a:grpSpLocks/>
        </xdr:cNvGrpSpPr>
      </xdr:nvGrpSpPr>
      <xdr:grpSpPr>
        <a:xfrm>
          <a:off x="6953250" y="3009900"/>
          <a:ext cx="1238250" cy="581025"/>
          <a:chOff x="922" y="400"/>
          <a:chExt cx="162" cy="79"/>
        </a:xfrm>
        <a:solidFill>
          <a:srgbClr val="FFFFFF"/>
        </a:solidFill>
      </xdr:grpSpPr>
      <xdr:pic macro="[0]!franklin">
        <xdr:nvPicPr>
          <xdr:cNvPr id="16" name="Picture 13"/>
          <xdr:cNvPicPr preferRelativeResize="1">
            <a:picLocks noChangeAspect="1"/>
          </xdr:cNvPicPr>
        </xdr:nvPicPr>
        <xdr:blipFill>
          <a:blip r:embed="rId2"/>
          <a:srcRect t="30285" b="34857"/>
          <a:stretch>
            <a:fillRect/>
          </a:stretch>
        </xdr:blipFill>
        <xdr:spPr>
          <a:xfrm>
            <a:off x="922" y="400"/>
            <a:ext cx="162" cy="79"/>
          </a:xfrm>
          <a:prstGeom prst="rect">
            <a:avLst/>
          </a:prstGeom>
          <a:noFill/>
          <a:ln w="9525" cmpd="sng">
            <a:noFill/>
          </a:ln>
        </xdr:spPr>
      </xdr:pic>
      <xdr:sp macro="[0]!franklin">
        <xdr:nvSpPr>
          <xdr:cNvPr id="17" name="Oval 43"/>
          <xdr:cNvSpPr>
            <a:spLocks/>
          </xdr:cNvSpPr>
        </xdr:nvSpPr>
        <xdr:spPr>
          <a:xfrm>
            <a:off x="923" y="415"/>
            <a:ext cx="151" cy="55"/>
          </a:xfrm>
          <a:prstGeom prst="ellipse">
            <a:avLst/>
          </a:prstGeom>
          <a:noFill/>
          <a:ln w="6350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FRANK</a:t>
            </a:r>
            <a:r>
              <a:rPr lang="en-US" cap="none" sz="11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LİN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8</xdr:row>
      <xdr:rowOff>9525</xdr:rowOff>
    </xdr:from>
    <xdr:to>
      <xdr:col>9</xdr:col>
      <xdr:colOff>123825</xdr:colOff>
      <xdr:row>12</xdr:row>
      <xdr:rowOff>171450</xdr:rowOff>
    </xdr:to>
    <xdr:sp>
      <xdr:nvSpPr>
        <xdr:cNvPr id="1" name="AutoShape 19"/>
        <xdr:cNvSpPr>
          <a:spLocks/>
        </xdr:cNvSpPr>
      </xdr:nvSpPr>
      <xdr:spPr>
        <a:xfrm>
          <a:off x="5695950" y="1419225"/>
          <a:ext cx="771525" cy="1095375"/>
        </a:xfrm>
        <a:prstGeom prst="lightningBolt">
          <a:avLst/>
        </a:prstGeom>
        <a:solidFill>
          <a:srgbClr val="FFFF9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66675</xdr:rowOff>
    </xdr:from>
    <xdr:to>
      <xdr:col>10</xdr:col>
      <xdr:colOff>600075</xdr:colOff>
      <xdr:row>9</xdr:row>
      <xdr:rowOff>9525</xdr:rowOff>
    </xdr:to>
    <xdr:sp>
      <xdr:nvSpPr>
        <xdr:cNvPr id="2" name="AutoShape 11"/>
        <xdr:cNvSpPr>
          <a:spLocks/>
        </xdr:cNvSpPr>
      </xdr:nvSpPr>
      <xdr:spPr>
        <a:xfrm>
          <a:off x="2143125" y="809625"/>
          <a:ext cx="5648325" cy="952500"/>
        </a:xfrm>
        <a:prstGeom prst="cloudCallout">
          <a:avLst>
            <a:gd name="adj1" fmla="val 26222"/>
            <a:gd name="adj2" fmla="val 14000"/>
          </a:avLst>
        </a:prstGeom>
        <a:gradFill rotWithShape="1">
          <a:gsLst>
            <a:gs pos="0">
              <a:srgbClr val="FFFF99"/>
            </a:gs>
            <a:gs pos="100000">
              <a:srgbClr val="993300"/>
            </a:gs>
          </a:gsLst>
          <a:lin ang="5400000" scaled="1"/>
        </a:gradFill>
        <a:ln w="63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YILDIRIMDAN KORUNACAK EN UZAK NOKTA  İLE PARATONER ARASINDAKİ UZAKLIK</a:t>
          </a:r>
        </a:p>
      </xdr:txBody>
    </xdr:sp>
    <xdr:clientData/>
  </xdr:twoCellAnchor>
  <xdr:twoCellAnchor>
    <xdr:from>
      <xdr:col>13</xdr:col>
      <xdr:colOff>219075</xdr:colOff>
      <xdr:row>13</xdr:row>
      <xdr:rowOff>142875</xdr:rowOff>
    </xdr:from>
    <xdr:to>
      <xdr:col>14</xdr:col>
      <xdr:colOff>66675</xdr:colOff>
      <xdr:row>15</xdr:row>
      <xdr:rowOff>114300</xdr:rowOff>
    </xdr:to>
    <xdr:sp macro="[0]!ana">
      <xdr:nvSpPr>
        <xdr:cNvPr id="3" name="AutoShape 13"/>
        <xdr:cNvSpPr>
          <a:spLocks/>
        </xdr:cNvSpPr>
      </xdr:nvSpPr>
      <xdr:spPr>
        <a:xfrm>
          <a:off x="9239250" y="2857500"/>
          <a:ext cx="457200" cy="485775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13</xdr:row>
      <xdr:rowOff>142875</xdr:rowOff>
    </xdr:from>
    <xdr:to>
      <xdr:col>12</xdr:col>
      <xdr:colOff>514350</xdr:colOff>
      <xdr:row>15</xdr:row>
      <xdr:rowOff>114300</xdr:rowOff>
    </xdr:to>
    <xdr:sp macro="[0]!METOD">
      <xdr:nvSpPr>
        <xdr:cNvPr id="4" name="AutoShape 15"/>
        <xdr:cNvSpPr>
          <a:spLocks/>
        </xdr:cNvSpPr>
      </xdr:nvSpPr>
      <xdr:spPr>
        <a:xfrm flipH="1">
          <a:off x="8496300" y="2857500"/>
          <a:ext cx="428625" cy="485775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276225</xdr:colOff>
      <xdr:row>3</xdr:row>
      <xdr:rowOff>38100</xdr:rowOff>
    </xdr:from>
    <xdr:to>
      <xdr:col>13</xdr:col>
      <xdr:colOff>457200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71475"/>
          <a:ext cx="7905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12</xdr:row>
      <xdr:rowOff>0</xdr:rowOff>
    </xdr:from>
    <xdr:to>
      <xdr:col>10</xdr:col>
      <xdr:colOff>371475</xdr:colOff>
      <xdr:row>12</xdr:row>
      <xdr:rowOff>342900</xdr:rowOff>
    </xdr:to>
    <xdr:sp macro="[0]!ana">
      <xdr:nvSpPr>
        <xdr:cNvPr id="6" name="AutoShape 34"/>
        <xdr:cNvSpPr>
          <a:spLocks/>
        </xdr:cNvSpPr>
      </xdr:nvSpPr>
      <xdr:spPr>
        <a:xfrm>
          <a:off x="7296150" y="2343150"/>
          <a:ext cx="266700" cy="3429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8</xdr:row>
      <xdr:rowOff>85725</xdr:rowOff>
    </xdr:from>
    <xdr:to>
      <xdr:col>8</xdr:col>
      <xdr:colOff>581025</xdr:colOff>
      <xdr:row>9</xdr:row>
      <xdr:rowOff>0</xdr:rowOff>
    </xdr:to>
    <xdr:sp>
      <xdr:nvSpPr>
        <xdr:cNvPr id="7" name="AutoShape 35"/>
        <xdr:cNvSpPr>
          <a:spLocks/>
        </xdr:cNvSpPr>
      </xdr:nvSpPr>
      <xdr:spPr>
        <a:xfrm>
          <a:off x="5562600" y="1495425"/>
          <a:ext cx="752475" cy="257175"/>
        </a:xfrm>
        <a:prstGeom prst="cloudCallout">
          <a:avLst>
            <a:gd name="adj1" fmla="val 21666"/>
            <a:gd name="adj2" fmla="val -4999"/>
          </a:avLst>
        </a:prstGeom>
        <a:gradFill rotWithShape="1">
          <a:gsLst>
            <a:gs pos="0">
              <a:srgbClr val="FFFF99"/>
            </a:gs>
            <a:gs pos="100000">
              <a:srgbClr val="993300"/>
            </a:gs>
          </a:gsLst>
          <a:lin ang="5400000" scaled="1"/>
        </a:gradFill>
        <a:ln w="63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YILDIRIMDAN KORUNACAK EN UZAK NOKTA  İLE PARATONER ARASINDAKİ UZAKLIK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257175</xdr:rowOff>
    </xdr:from>
    <xdr:to>
      <xdr:col>8</xdr:col>
      <xdr:colOff>1295400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428625"/>
          <a:ext cx="723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885825</xdr:colOff>
      <xdr:row>14</xdr:row>
      <xdr:rowOff>66675</xdr:rowOff>
    </xdr:from>
    <xdr:to>
      <xdr:col>8</xdr:col>
      <xdr:colOff>1390650</xdr:colOff>
      <xdr:row>16</xdr:row>
      <xdr:rowOff>57150</xdr:rowOff>
    </xdr:to>
    <xdr:sp macro="[0]!METOD">
      <xdr:nvSpPr>
        <xdr:cNvPr id="2" name="AutoShape 4"/>
        <xdr:cNvSpPr>
          <a:spLocks/>
        </xdr:cNvSpPr>
      </xdr:nvSpPr>
      <xdr:spPr>
        <a:xfrm flipH="1">
          <a:off x="8439150" y="3209925"/>
          <a:ext cx="504825" cy="4762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28575</xdr:rowOff>
    </xdr:from>
    <xdr:to>
      <xdr:col>6</xdr:col>
      <xdr:colOff>1514475</xdr:colOff>
      <xdr:row>8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3009900" y="1666875"/>
          <a:ext cx="3028950" cy="228600"/>
        </a:xfrm>
        <a:prstGeom prst="rect">
          <a:avLst/>
        </a:prstGeom>
        <a:gradFill rotWithShape="1">
          <a:gsLst>
            <a:gs pos="0">
              <a:srgbClr val="750075"/>
            </a:gs>
            <a:gs pos="50000">
              <a:srgbClr val="FF00FF"/>
            </a:gs>
            <a:gs pos="100000">
              <a:srgbClr val="750075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SONUÇ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4" name="Rectangle 9"/>
        <xdr:cNvSpPr>
          <a:spLocks/>
        </xdr:cNvSpPr>
      </xdr:nvSpPr>
      <xdr:spPr>
        <a:xfrm>
          <a:off x="1438275" y="3314700"/>
          <a:ext cx="1543050" cy="314325"/>
        </a:xfrm>
        <a:prstGeom prst="rect">
          <a:avLst/>
        </a:prstGeom>
        <a:gradFill rotWithShape="1">
          <a:gsLst>
            <a:gs pos="0">
              <a:srgbClr val="75465E"/>
            </a:gs>
            <a:gs pos="50000">
              <a:srgbClr val="FF99CC"/>
            </a:gs>
            <a:gs pos="100000">
              <a:srgbClr val="75465E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KORUMA SEVİYESİ</a:t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2990850" y="3314700"/>
          <a:ext cx="1533525" cy="314325"/>
        </a:xfrm>
        <a:prstGeom prst="rect">
          <a:avLst/>
        </a:prstGeom>
        <a:gradFill rotWithShape="1">
          <a:gsLst>
            <a:gs pos="0">
              <a:srgbClr val="75465E"/>
            </a:gs>
            <a:gs pos="50000">
              <a:srgbClr val="FF99CC"/>
            </a:gs>
            <a:gs pos="100000">
              <a:srgbClr val="75465E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YUVARLANAN KÜRE ÇAPI (m)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4524375" y="3314700"/>
          <a:ext cx="1543050" cy="314325"/>
        </a:xfrm>
        <a:prstGeom prst="rect">
          <a:avLst/>
        </a:prstGeom>
        <a:gradFill rotWithShape="1">
          <a:gsLst>
            <a:gs pos="0">
              <a:srgbClr val="75465E"/>
            </a:gs>
            <a:gs pos="50000">
              <a:srgbClr val="FF99CC"/>
            </a:gs>
            <a:gs pos="100000">
              <a:srgbClr val="75465E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KAFES ARALIĞI           (m) 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1533525</xdr:colOff>
      <xdr:row>10</xdr:row>
      <xdr:rowOff>333375</xdr:rowOff>
    </xdr:to>
    <xdr:sp>
      <xdr:nvSpPr>
        <xdr:cNvPr id="7" name="Rectangle 12"/>
        <xdr:cNvSpPr>
          <a:spLocks/>
        </xdr:cNvSpPr>
      </xdr:nvSpPr>
      <xdr:spPr>
        <a:xfrm>
          <a:off x="2981325" y="2143125"/>
          <a:ext cx="1533525" cy="333375"/>
        </a:xfrm>
        <a:prstGeom prst="rect">
          <a:avLst/>
        </a:prstGeom>
        <a:gradFill rotWithShape="1">
          <a:gsLst>
            <a:gs pos="0">
              <a:srgbClr val="750075"/>
            </a:gs>
            <a:gs pos="50000">
              <a:srgbClr val="FF00FF"/>
            </a:gs>
            <a:gs pos="100000">
              <a:srgbClr val="750075"/>
            </a:gs>
          </a:gsLst>
          <a:lin ang="0" scaled="1"/>
        </a:gradFill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KAFES ARALIĞI         (m) 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9525</xdr:colOff>
      <xdr:row>17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1438275" y="3629025"/>
          <a:ext cx="1552575" cy="200025"/>
        </a:xfrm>
        <a:prstGeom prst="rect">
          <a:avLst/>
        </a:prstGeom>
        <a:gradFill rotWithShape="1">
          <a:gsLst>
            <a:gs pos="0">
              <a:srgbClr val="752F00"/>
            </a:gs>
            <a:gs pos="50000">
              <a:srgbClr val="FF6600"/>
            </a:gs>
            <a:gs pos="100000">
              <a:srgbClr val="752F00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</a:t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5</xdr:col>
      <xdr:colOff>9525</xdr:colOff>
      <xdr:row>18</xdr:row>
      <xdr:rowOff>9525</xdr:rowOff>
    </xdr:to>
    <xdr:sp>
      <xdr:nvSpPr>
        <xdr:cNvPr id="9" name="Rectangle 14"/>
        <xdr:cNvSpPr>
          <a:spLocks/>
        </xdr:cNvSpPr>
      </xdr:nvSpPr>
      <xdr:spPr>
        <a:xfrm>
          <a:off x="1438275" y="3838575"/>
          <a:ext cx="1552575" cy="200025"/>
        </a:xfrm>
        <a:prstGeom prst="rect">
          <a:avLst/>
        </a:prstGeom>
        <a:gradFill rotWithShape="1">
          <a:gsLst>
            <a:gs pos="0">
              <a:srgbClr val="752F00"/>
            </a:gs>
            <a:gs pos="50000">
              <a:srgbClr val="FF6600"/>
            </a:gs>
            <a:gs pos="100000">
              <a:srgbClr val="752F00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II</a:t>
          </a:r>
        </a:p>
      </xdr:txBody>
    </xdr:sp>
    <xdr:clientData/>
  </xdr:twoCellAnchor>
  <xdr:twoCellAnchor>
    <xdr:from>
      <xdr:col>4</xdr:col>
      <xdr:colOff>0</xdr:colOff>
      <xdr:row>18</xdr:row>
      <xdr:rowOff>28575</xdr:rowOff>
    </xdr:from>
    <xdr:to>
      <xdr:col>5</xdr:col>
      <xdr:colOff>9525</xdr:colOff>
      <xdr:row>19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438275" y="4057650"/>
          <a:ext cx="1552575" cy="171450"/>
        </a:xfrm>
        <a:prstGeom prst="rect">
          <a:avLst/>
        </a:prstGeom>
        <a:gradFill rotWithShape="1">
          <a:gsLst>
            <a:gs pos="0">
              <a:srgbClr val="752F00"/>
            </a:gs>
            <a:gs pos="50000">
              <a:srgbClr val="FF6600"/>
            </a:gs>
            <a:gs pos="100000">
              <a:srgbClr val="752F00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III</a:t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9525</xdr:colOff>
      <xdr:row>20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1438275" y="4238625"/>
          <a:ext cx="1552575" cy="190500"/>
        </a:xfrm>
        <a:prstGeom prst="rect">
          <a:avLst/>
        </a:prstGeom>
        <a:gradFill rotWithShape="1">
          <a:gsLst>
            <a:gs pos="0">
              <a:srgbClr val="752F00"/>
            </a:gs>
            <a:gs pos="50000">
              <a:srgbClr val="FF6600"/>
            </a:gs>
            <a:gs pos="100000">
              <a:srgbClr val="752F00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IV</a:t>
          </a:r>
        </a:p>
      </xdr:txBody>
    </xdr:sp>
    <xdr:clientData/>
  </xdr:twoCellAnchor>
  <xdr:twoCellAnchor>
    <xdr:from>
      <xdr:col>8</xdr:col>
      <xdr:colOff>1114425</xdr:colOff>
      <xdr:row>16</xdr:row>
      <xdr:rowOff>180975</xdr:rowOff>
    </xdr:from>
    <xdr:to>
      <xdr:col>9</xdr:col>
      <xdr:colOff>333375</xdr:colOff>
      <xdr:row>19</xdr:row>
      <xdr:rowOff>66675</xdr:rowOff>
    </xdr:to>
    <xdr:sp macro="[0]!METOD">
      <xdr:nvSpPr>
        <xdr:cNvPr id="12" name="Rectangle 22"/>
        <xdr:cNvSpPr>
          <a:spLocks/>
        </xdr:cNvSpPr>
      </xdr:nvSpPr>
      <xdr:spPr>
        <a:xfrm>
          <a:off x="8667750" y="3810000"/>
          <a:ext cx="800100" cy="4857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METOD SEÇİMİ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28575</xdr:colOff>
      <xdr:row>16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067425" y="3314700"/>
          <a:ext cx="1514475" cy="314325"/>
        </a:xfrm>
        <a:prstGeom prst="rect">
          <a:avLst/>
        </a:prstGeom>
        <a:gradFill rotWithShape="1">
          <a:gsLst>
            <a:gs pos="0">
              <a:srgbClr val="75465E"/>
            </a:gs>
            <a:gs pos="50000">
              <a:srgbClr val="FF99CC"/>
            </a:gs>
            <a:gs pos="100000">
              <a:srgbClr val="75465E"/>
            </a:gs>
          </a:gsLst>
          <a:lin ang="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İNİŞ İLETKEN ARALIĞI  (m) 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1533525</xdr:colOff>
      <xdr:row>10</xdr:row>
      <xdr:rowOff>333375</xdr:rowOff>
    </xdr:to>
    <xdr:sp>
      <xdr:nvSpPr>
        <xdr:cNvPr id="14" name="Rectangle 24"/>
        <xdr:cNvSpPr>
          <a:spLocks/>
        </xdr:cNvSpPr>
      </xdr:nvSpPr>
      <xdr:spPr>
        <a:xfrm>
          <a:off x="4524375" y="2143125"/>
          <a:ext cx="1533525" cy="333375"/>
        </a:xfrm>
        <a:prstGeom prst="rect">
          <a:avLst/>
        </a:prstGeom>
        <a:gradFill rotWithShape="1">
          <a:gsLst>
            <a:gs pos="0">
              <a:srgbClr val="750075"/>
            </a:gs>
            <a:gs pos="50000">
              <a:srgbClr val="FF00FF"/>
            </a:gs>
            <a:gs pos="100000">
              <a:srgbClr val="750075"/>
            </a:gs>
          </a:gsLst>
          <a:lin ang="0" scaled="1"/>
        </a:gradFill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İNİŞ İLETKEN  ARALIĞI      (m)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18</xdr:row>
      <xdr:rowOff>85725</xdr:rowOff>
    </xdr:from>
    <xdr:to>
      <xdr:col>6</xdr:col>
      <xdr:colOff>609600</xdr:colOff>
      <xdr:row>20</xdr:row>
      <xdr:rowOff>9525</xdr:rowOff>
    </xdr:to>
    <xdr:sp macro="[0]!METOD">
      <xdr:nvSpPr>
        <xdr:cNvPr id="1" name="AutoShape 1"/>
        <xdr:cNvSpPr>
          <a:spLocks/>
        </xdr:cNvSpPr>
      </xdr:nvSpPr>
      <xdr:spPr>
        <a:xfrm flipH="1">
          <a:off x="4076700" y="4019550"/>
          <a:ext cx="504825" cy="4762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6</xdr:row>
      <xdr:rowOff>152400</xdr:rowOff>
    </xdr:from>
    <xdr:to>
      <xdr:col>3</xdr:col>
      <xdr:colOff>409575</xdr:colOff>
      <xdr:row>18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76350"/>
          <a:ext cx="17811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18</xdr:row>
      <xdr:rowOff>85725</xdr:rowOff>
    </xdr:from>
    <xdr:to>
      <xdr:col>7</xdr:col>
      <xdr:colOff>704850</xdr:colOff>
      <xdr:row>20</xdr:row>
      <xdr:rowOff>9525</xdr:rowOff>
    </xdr:to>
    <xdr:sp macro="[0]!FRANKLİSON">
      <xdr:nvSpPr>
        <xdr:cNvPr id="3" name="AutoShape 4"/>
        <xdr:cNvSpPr>
          <a:spLocks/>
        </xdr:cNvSpPr>
      </xdr:nvSpPr>
      <xdr:spPr>
        <a:xfrm>
          <a:off x="5019675" y="4019550"/>
          <a:ext cx="504825" cy="4762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6</xdr:row>
      <xdr:rowOff>104775</xdr:rowOff>
    </xdr:from>
    <xdr:to>
      <xdr:col>11</xdr:col>
      <xdr:colOff>152400</xdr:colOff>
      <xdr:row>8</xdr:row>
      <xdr:rowOff>47625</xdr:rowOff>
    </xdr:to>
    <xdr:sp macro="[0]!FRANKLİSON">
      <xdr:nvSpPr>
        <xdr:cNvPr id="4" name="AutoShape 9"/>
        <xdr:cNvSpPr>
          <a:spLocks/>
        </xdr:cNvSpPr>
      </xdr:nvSpPr>
      <xdr:spPr>
        <a:xfrm>
          <a:off x="7419975" y="1228725"/>
          <a:ext cx="371475" cy="38100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17</xdr:row>
      <xdr:rowOff>0</xdr:rowOff>
    </xdr:from>
    <xdr:to>
      <xdr:col>11</xdr:col>
      <xdr:colOff>657225</xdr:colOff>
      <xdr:row>18</xdr:row>
      <xdr:rowOff>200025</xdr:rowOff>
    </xdr:to>
    <xdr:sp macro="[0]!franklin">
      <xdr:nvSpPr>
        <xdr:cNvPr id="1" name="AutoShape 4"/>
        <xdr:cNvSpPr>
          <a:spLocks/>
        </xdr:cNvSpPr>
      </xdr:nvSpPr>
      <xdr:spPr>
        <a:xfrm flipH="1">
          <a:off x="7991475" y="3457575"/>
          <a:ext cx="504825" cy="4762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19</xdr:row>
      <xdr:rowOff>76200</xdr:rowOff>
    </xdr:from>
    <xdr:to>
      <xdr:col>12</xdr:col>
      <xdr:colOff>180975</xdr:colOff>
      <xdr:row>21</xdr:row>
      <xdr:rowOff>66675</xdr:rowOff>
    </xdr:to>
    <xdr:sp macro="[0]!METOD">
      <xdr:nvSpPr>
        <xdr:cNvPr id="2" name="Rectangle 12"/>
        <xdr:cNvSpPr>
          <a:spLocks/>
        </xdr:cNvSpPr>
      </xdr:nvSpPr>
      <xdr:spPr>
        <a:xfrm>
          <a:off x="8210550" y="4048125"/>
          <a:ext cx="704850" cy="4667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METOD SEÇİMİ</a:t>
          </a:r>
        </a:p>
      </xdr:txBody>
    </xdr:sp>
    <xdr:clientData/>
  </xdr:twoCellAnchor>
  <xdr:twoCellAnchor>
    <xdr:from>
      <xdr:col>10</xdr:col>
      <xdr:colOff>85725</xdr:colOff>
      <xdr:row>9</xdr:row>
      <xdr:rowOff>190500</xdr:rowOff>
    </xdr:from>
    <xdr:to>
      <xdr:col>10</xdr:col>
      <xdr:colOff>590550</xdr:colOff>
      <xdr:row>11</xdr:row>
      <xdr:rowOff>161925</xdr:rowOff>
    </xdr:to>
    <xdr:sp macro="[0]!franklin">
      <xdr:nvSpPr>
        <xdr:cNvPr id="3" name="AutoShape 13"/>
        <xdr:cNvSpPr>
          <a:spLocks/>
        </xdr:cNvSpPr>
      </xdr:nvSpPr>
      <xdr:spPr>
        <a:xfrm flipH="1">
          <a:off x="7105650" y="1971675"/>
          <a:ext cx="504825" cy="4762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76200</xdr:colOff>
      <xdr:row>24</xdr:row>
      <xdr:rowOff>76200</xdr:rowOff>
    </xdr:from>
    <xdr:ext cx="95250" cy="228600"/>
    <xdr:sp>
      <xdr:nvSpPr>
        <xdr:cNvPr id="1" name="TextBox 9"/>
        <xdr:cNvSpPr txBox="1">
          <a:spLocks noChangeArrowheads="1"/>
        </xdr:cNvSpPr>
      </xdr:nvSpPr>
      <xdr:spPr>
        <a:xfrm>
          <a:off x="21516975" y="5381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400050</xdr:colOff>
      <xdr:row>4</xdr:row>
      <xdr:rowOff>133350</xdr:rowOff>
    </xdr:from>
    <xdr:to>
      <xdr:col>11</xdr:col>
      <xdr:colOff>219075</xdr:colOff>
      <xdr:row>15</xdr:row>
      <xdr:rowOff>190500</xdr:rowOff>
    </xdr:to>
    <xdr:sp>
      <xdr:nvSpPr>
        <xdr:cNvPr id="2" name="Rectangle 41"/>
        <xdr:cNvSpPr>
          <a:spLocks/>
        </xdr:cNvSpPr>
      </xdr:nvSpPr>
      <xdr:spPr>
        <a:xfrm>
          <a:off x="1447800" y="962025"/>
          <a:ext cx="7686675" cy="28479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18</xdr:row>
      <xdr:rowOff>104775</xdr:rowOff>
    </xdr:from>
    <xdr:to>
      <xdr:col>10</xdr:col>
      <xdr:colOff>523875</xdr:colOff>
      <xdr:row>19</xdr:row>
      <xdr:rowOff>152400</xdr:rowOff>
    </xdr:to>
    <xdr:sp macro="[0]!lev1">
      <xdr:nvSpPr>
        <xdr:cNvPr id="3" name="Rectangle 46"/>
        <xdr:cNvSpPr>
          <a:spLocks/>
        </xdr:cNvSpPr>
      </xdr:nvSpPr>
      <xdr:spPr>
        <a:xfrm>
          <a:off x="7496175" y="4371975"/>
          <a:ext cx="1333500" cy="247650"/>
        </a:xfrm>
        <a:prstGeom prst="rect">
          <a:avLst/>
        </a:prstGeom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LEVEL 1</a:t>
          </a:r>
        </a:p>
      </xdr:txBody>
    </xdr:sp>
    <xdr:clientData/>
  </xdr:twoCellAnchor>
  <xdr:twoCellAnchor>
    <xdr:from>
      <xdr:col>8</xdr:col>
      <xdr:colOff>847725</xdr:colOff>
      <xdr:row>20</xdr:row>
      <xdr:rowOff>85725</xdr:rowOff>
    </xdr:from>
    <xdr:to>
      <xdr:col>10</xdr:col>
      <xdr:colOff>523875</xdr:colOff>
      <xdr:row>22</xdr:row>
      <xdr:rowOff>0</xdr:rowOff>
    </xdr:to>
    <xdr:sp macro="[0]!LEV2">
      <xdr:nvSpPr>
        <xdr:cNvPr id="4" name="Rectangle 48"/>
        <xdr:cNvSpPr>
          <a:spLocks/>
        </xdr:cNvSpPr>
      </xdr:nvSpPr>
      <xdr:spPr>
        <a:xfrm>
          <a:off x="7496175" y="4714875"/>
          <a:ext cx="1333500" cy="247650"/>
        </a:xfrm>
        <a:prstGeom prst="rect">
          <a:avLst/>
        </a:prstGeom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LEVEL 2</a:t>
          </a:r>
        </a:p>
      </xdr:txBody>
    </xdr:sp>
    <xdr:clientData/>
  </xdr:twoCellAnchor>
  <xdr:twoCellAnchor>
    <xdr:from>
      <xdr:col>8</xdr:col>
      <xdr:colOff>847725</xdr:colOff>
      <xdr:row>22</xdr:row>
      <xdr:rowOff>104775</xdr:rowOff>
    </xdr:from>
    <xdr:to>
      <xdr:col>10</xdr:col>
      <xdr:colOff>523875</xdr:colOff>
      <xdr:row>24</xdr:row>
      <xdr:rowOff>9525</xdr:rowOff>
    </xdr:to>
    <xdr:sp macro="[0]!LEV3">
      <xdr:nvSpPr>
        <xdr:cNvPr id="5" name="Rectangle 49"/>
        <xdr:cNvSpPr>
          <a:spLocks/>
        </xdr:cNvSpPr>
      </xdr:nvSpPr>
      <xdr:spPr>
        <a:xfrm>
          <a:off x="7496175" y="5067300"/>
          <a:ext cx="1333500" cy="247650"/>
        </a:xfrm>
        <a:prstGeom prst="rect">
          <a:avLst/>
        </a:prstGeom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LEVEL 3</a:t>
          </a:r>
        </a:p>
      </xdr:txBody>
    </xdr:sp>
    <xdr:clientData/>
  </xdr:twoCellAnchor>
  <xdr:oneCellAnchor>
    <xdr:from>
      <xdr:col>24</xdr:col>
      <xdr:colOff>76200</xdr:colOff>
      <xdr:row>25</xdr:row>
      <xdr:rowOff>76200</xdr:rowOff>
    </xdr:from>
    <xdr:ext cx="95250" cy="228600"/>
    <xdr:sp>
      <xdr:nvSpPr>
        <xdr:cNvPr id="6" name="TextBox 68"/>
        <xdr:cNvSpPr txBox="1">
          <a:spLocks noChangeArrowheads="1"/>
        </xdr:cNvSpPr>
      </xdr:nvSpPr>
      <xdr:spPr>
        <a:xfrm>
          <a:off x="21516975" y="5619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26</xdr:row>
      <xdr:rowOff>76200</xdr:rowOff>
    </xdr:from>
    <xdr:ext cx="95250" cy="228600"/>
    <xdr:sp>
      <xdr:nvSpPr>
        <xdr:cNvPr id="7" name="TextBox 69"/>
        <xdr:cNvSpPr txBox="1">
          <a:spLocks noChangeArrowheads="1"/>
        </xdr:cNvSpPr>
      </xdr:nvSpPr>
      <xdr:spPr>
        <a:xfrm>
          <a:off x="21516975" y="585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27</xdr:row>
      <xdr:rowOff>76200</xdr:rowOff>
    </xdr:from>
    <xdr:ext cx="95250" cy="228600"/>
    <xdr:sp>
      <xdr:nvSpPr>
        <xdr:cNvPr id="8" name="TextBox 70"/>
        <xdr:cNvSpPr txBox="1">
          <a:spLocks noChangeArrowheads="1"/>
        </xdr:cNvSpPr>
      </xdr:nvSpPr>
      <xdr:spPr>
        <a:xfrm>
          <a:off x="21516975" y="609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28</xdr:row>
      <xdr:rowOff>76200</xdr:rowOff>
    </xdr:from>
    <xdr:ext cx="95250" cy="228600"/>
    <xdr:sp>
      <xdr:nvSpPr>
        <xdr:cNvPr id="9" name="TextBox 71"/>
        <xdr:cNvSpPr txBox="1">
          <a:spLocks noChangeArrowheads="1"/>
        </xdr:cNvSpPr>
      </xdr:nvSpPr>
      <xdr:spPr>
        <a:xfrm>
          <a:off x="21516975" y="633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29</xdr:row>
      <xdr:rowOff>76200</xdr:rowOff>
    </xdr:from>
    <xdr:ext cx="95250" cy="228600"/>
    <xdr:sp>
      <xdr:nvSpPr>
        <xdr:cNvPr id="10" name="TextBox 72"/>
        <xdr:cNvSpPr txBox="1">
          <a:spLocks noChangeArrowheads="1"/>
        </xdr:cNvSpPr>
      </xdr:nvSpPr>
      <xdr:spPr>
        <a:xfrm>
          <a:off x="21516975" y="6505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30</xdr:row>
      <xdr:rowOff>76200</xdr:rowOff>
    </xdr:from>
    <xdr:ext cx="95250" cy="228600"/>
    <xdr:sp>
      <xdr:nvSpPr>
        <xdr:cNvPr id="11" name="TextBox 73"/>
        <xdr:cNvSpPr txBox="1">
          <a:spLocks noChangeArrowheads="1"/>
        </xdr:cNvSpPr>
      </xdr:nvSpPr>
      <xdr:spPr>
        <a:xfrm>
          <a:off x="21516975" y="666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76200</xdr:colOff>
      <xdr:row>31</xdr:row>
      <xdr:rowOff>76200</xdr:rowOff>
    </xdr:from>
    <xdr:ext cx="95250" cy="228600"/>
    <xdr:sp>
      <xdr:nvSpPr>
        <xdr:cNvPr id="12" name="TextBox 74"/>
        <xdr:cNvSpPr txBox="1">
          <a:spLocks noChangeArrowheads="1"/>
        </xdr:cNvSpPr>
      </xdr:nvSpPr>
      <xdr:spPr>
        <a:xfrm>
          <a:off x="21516975" y="682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11</xdr:col>
      <xdr:colOff>0</xdr:colOff>
      <xdr:row>6</xdr:row>
      <xdr:rowOff>0</xdr:rowOff>
    </xdr:to>
    <xdr:sp>
      <xdr:nvSpPr>
        <xdr:cNvPr id="13" name="Rectangle 87"/>
        <xdr:cNvSpPr>
          <a:spLocks/>
        </xdr:cNvSpPr>
      </xdr:nvSpPr>
      <xdr:spPr>
        <a:xfrm>
          <a:off x="1657350" y="1066800"/>
          <a:ext cx="72580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14" name="Rectangle 105"/>
        <xdr:cNvSpPr>
          <a:spLocks/>
        </xdr:cNvSpPr>
      </xdr:nvSpPr>
      <xdr:spPr>
        <a:xfrm>
          <a:off x="3933825" y="2838450"/>
          <a:ext cx="27146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38100</xdr:colOff>
      <xdr:row>10</xdr:row>
      <xdr:rowOff>171450</xdr:rowOff>
    </xdr:from>
    <xdr:to>
      <xdr:col>9</xdr:col>
      <xdr:colOff>552450</xdr:colOff>
      <xdr:row>11</xdr:row>
      <xdr:rowOff>114300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514600"/>
          <a:ext cx="5943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18</xdr:row>
      <xdr:rowOff>66675</xdr:rowOff>
    </xdr:from>
    <xdr:to>
      <xdr:col>6</xdr:col>
      <xdr:colOff>495300</xdr:colOff>
      <xdr:row>22</xdr:row>
      <xdr:rowOff>161925</xdr:rowOff>
    </xdr:to>
    <xdr:sp macro="[0]!ekran">
      <xdr:nvSpPr>
        <xdr:cNvPr id="16" name="Oval 107"/>
        <xdr:cNvSpPr>
          <a:spLocks/>
        </xdr:cNvSpPr>
      </xdr:nvSpPr>
      <xdr:spPr>
        <a:xfrm>
          <a:off x="5076825" y="4333875"/>
          <a:ext cx="400050" cy="790575"/>
        </a:xfrm>
        <a:prstGeom prst="ellipse">
          <a:avLst/>
        </a:prstGeom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0" scaled="1"/>
        </a:gradFill>
        <a:ln w="47625" cmpd="dbl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17</xdr:row>
      <xdr:rowOff>28575</xdr:rowOff>
    </xdr:from>
    <xdr:to>
      <xdr:col>3</xdr:col>
      <xdr:colOff>333375</xdr:colOff>
      <xdr:row>20</xdr:row>
      <xdr:rowOff>66675</xdr:rowOff>
    </xdr:to>
    <xdr:sp macro="[0]!koru">
      <xdr:nvSpPr>
        <xdr:cNvPr id="17" name="AutoShape 113"/>
        <xdr:cNvSpPr>
          <a:spLocks/>
        </xdr:cNvSpPr>
      </xdr:nvSpPr>
      <xdr:spPr>
        <a:xfrm flipH="1">
          <a:off x="2143125" y="4095750"/>
          <a:ext cx="457200" cy="600075"/>
        </a:xfrm>
        <a:prstGeom prst="rightArrow">
          <a:avLst>
            <a:gd name="adj1" fmla="val 4282"/>
            <a:gd name="adj2" fmla="val -25004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847725</xdr:colOff>
      <xdr:row>24</xdr:row>
      <xdr:rowOff>104775</xdr:rowOff>
    </xdr:from>
    <xdr:to>
      <xdr:col>10</xdr:col>
      <xdr:colOff>523875</xdr:colOff>
      <xdr:row>25</xdr:row>
      <xdr:rowOff>114300</xdr:rowOff>
    </xdr:to>
    <xdr:sp macro="[0]!lev4">
      <xdr:nvSpPr>
        <xdr:cNvPr id="18" name="Rectangle 122"/>
        <xdr:cNvSpPr>
          <a:spLocks/>
        </xdr:cNvSpPr>
      </xdr:nvSpPr>
      <xdr:spPr>
        <a:xfrm>
          <a:off x="7496175" y="5410200"/>
          <a:ext cx="1333500" cy="247650"/>
        </a:xfrm>
        <a:prstGeom prst="rect">
          <a:avLst/>
        </a:prstGeom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LEVEL 4</a:t>
          </a:r>
        </a:p>
      </xdr:txBody>
    </xdr:sp>
    <xdr:clientData/>
  </xdr:twoCellAnchor>
  <xdr:twoCellAnchor>
    <xdr:from>
      <xdr:col>8</xdr:col>
      <xdr:colOff>847725</xdr:colOff>
      <xdr:row>16</xdr:row>
      <xdr:rowOff>142875</xdr:rowOff>
    </xdr:from>
    <xdr:to>
      <xdr:col>10</xdr:col>
      <xdr:colOff>523875</xdr:colOff>
      <xdr:row>17</xdr:row>
      <xdr:rowOff>190500</xdr:rowOff>
    </xdr:to>
    <xdr:sp macro="[0]!lev1oz">
      <xdr:nvSpPr>
        <xdr:cNvPr id="19" name="Rectangle 124"/>
        <xdr:cNvSpPr>
          <a:spLocks/>
        </xdr:cNvSpPr>
      </xdr:nvSpPr>
      <xdr:spPr>
        <a:xfrm>
          <a:off x="7496175" y="4010025"/>
          <a:ext cx="1333500" cy="247650"/>
        </a:xfrm>
        <a:prstGeom prst="rect">
          <a:avLst/>
        </a:prstGeom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LEVEL 1+ ÖZEL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20" name="Rectangle 137"/>
        <xdr:cNvSpPr>
          <a:spLocks/>
        </xdr:cNvSpPr>
      </xdr:nvSpPr>
      <xdr:spPr>
        <a:xfrm>
          <a:off x="3933825" y="3333750"/>
          <a:ext cx="27146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9525</xdr:rowOff>
    </xdr:from>
    <xdr:to>
      <xdr:col>4</xdr:col>
      <xdr:colOff>371475</xdr:colOff>
      <xdr:row>23</xdr:row>
      <xdr:rowOff>133350</xdr:rowOff>
    </xdr:to>
    <xdr:sp macro="[0]!METOD">
      <xdr:nvSpPr>
        <xdr:cNvPr id="21" name="Rectangle 142"/>
        <xdr:cNvSpPr>
          <a:spLocks/>
        </xdr:cNvSpPr>
      </xdr:nvSpPr>
      <xdr:spPr>
        <a:xfrm>
          <a:off x="2457450" y="4800600"/>
          <a:ext cx="800100" cy="4667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METOD SEÇİMİ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19050</xdr:rowOff>
    </xdr:from>
    <xdr:to>
      <xdr:col>0</xdr:col>
      <xdr:colOff>1143000</xdr:colOff>
      <xdr:row>15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228600" y="1409700"/>
          <a:ext cx="914400" cy="1419225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10</xdr:row>
      <xdr:rowOff>0</xdr:rowOff>
    </xdr:from>
    <xdr:to>
      <xdr:col>0</xdr:col>
      <xdr:colOff>1057275</xdr:colOff>
      <xdr:row>11</xdr:row>
      <xdr:rowOff>85725</xdr:rowOff>
    </xdr:to>
    <xdr:sp macro="[0]!LEV2">
      <xdr:nvSpPr>
        <xdr:cNvPr id="2" name="Rectangle 3"/>
        <xdr:cNvSpPr>
          <a:spLocks/>
        </xdr:cNvSpPr>
      </xdr:nvSpPr>
      <xdr:spPr>
        <a:xfrm>
          <a:off x="333375" y="1809750"/>
          <a:ext cx="723900" cy="257175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2</a:t>
          </a:r>
        </a:p>
      </xdr:txBody>
    </xdr:sp>
    <xdr:clientData/>
  </xdr:twoCellAnchor>
  <xdr:twoCellAnchor>
    <xdr:from>
      <xdr:col>0</xdr:col>
      <xdr:colOff>333375</xdr:colOff>
      <xdr:row>11</xdr:row>
      <xdr:rowOff>161925</xdr:rowOff>
    </xdr:from>
    <xdr:to>
      <xdr:col>0</xdr:col>
      <xdr:colOff>1057275</xdr:colOff>
      <xdr:row>13</xdr:row>
      <xdr:rowOff>66675</xdr:rowOff>
    </xdr:to>
    <xdr:sp macro="[0]!LEV3">
      <xdr:nvSpPr>
        <xdr:cNvPr id="3" name="Rectangle 4"/>
        <xdr:cNvSpPr>
          <a:spLocks/>
        </xdr:cNvSpPr>
      </xdr:nvSpPr>
      <xdr:spPr>
        <a:xfrm>
          <a:off x="333375" y="214312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3</a:t>
          </a:r>
        </a:p>
      </xdr:txBody>
    </xdr:sp>
    <xdr:clientData/>
  </xdr:twoCellAnchor>
  <xdr:twoCellAnchor>
    <xdr:from>
      <xdr:col>0</xdr:col>
      <xdr:colOff>333375</xdr:colOff>
      <xdr:row>13</xdr:row>
      <xdr:rowOff>142875</xdr:rowOff>
    </xdr:from>
    <xdr:to>
      <xdr:col>0</xdr:col>
      <xdr:colOff>1057275</xdr:colOff>
      <xdr:row>15</xdr:row>
      <xdr:rowOff>47625</xdr:rowOff>
    </xdr:to>
    <xdr:sp macro="[0]!lev4">
      <xdr:nvSpPr>
        <xdr:cNvPr id="4" name="Rectangle 5"/>
        <xdr:cNvSpPr>
          <a:spLocks/>
        </xdr:cNvSpPr>
      </xdr:nvSpPr>
      <xdr:spPr>
        <a:xfrm>
          <a:off x="333375" y="246697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4</a:t>
          </a:r>
        </a:p>
      </xdr:txBody>
    </xdr:sp>
    <xdr:clientData/>
  </xdr:twoCellAnchor>
  <xdr:twoCellAnchor>
    <xdr:from>
      <xdr:col>0</xdr:col>
      <xdr:colOff>323850</xdr:colOff>
      <xdr:row>8</xdr:row>
      <xdr:rowOff>95250</xdr:rowOff>
    </xdr:from>
    <xdr:to>
      <xdr:col>0</xdr:col>
      <xdr:colOff>1047750</xdr:colOff>
      <xdr:row>9</xdr:row>
      <xdr:rowOff>95250</xdr:rowOff>
    </xdr:to>
    <xdr:sp macro="[0]!lev1">
      <xdr:nvSpPr>
        <xdr:cNvPr id="5" name="Rectangle 6"/>
        <xdr:cNvSpPr>
          <a:spLocks/>
        </xdr:cNvSpPr>
      </xdr:nvSpPr>
      <xdr:spPr>
        <a:xfrm>
          <a:off x="323850" y="148590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381125" y="1390650"/>
          <a:ext cx="49625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381125" y="0"/>
          <a:ext cx="496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16</xdr:row>
      <xdr:rowOff>123825</xdr:rowOff>
    </xdr:from>
    <xdr:to>
      <xdr:col>1</xdr:col>
      <xdr:colOff>1971675</xdr:colOff>
      <xdr:row>19</xdr:row>
      <xdr:rowOff>57150</xdr:rowOff>
    </xdr:to>
    <xdr:sp macro="[0]!ana">
      <xdr:nvSpPr>
        <xdr:cNvPr id="8" name="AutoShape 11"/>
        <xdr:cNvSpPr>
          <a:spLocks/>
        </xdr:cNvSpPr>
      </xdr:nvSpPr>
      <xdr:spPr>
        <a:xfrm>
          <a:off x="2924175" y="2962275"/>
          <a:ext cx="428625" cy="419100"/>
        </a:xfrm>
        <a:prstGeom prst="lef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19050</xdr:rowOff>
    </xdr:from>
    <xdr:to>
      <xdr:col>0</xdr:col>
      <xdr:colOff>1123950</xdr:colOff>
      <xdr:row>16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209550" y="1409700"/>
          <a:ext cx="914400" cy="1428750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</xdr:row>
      <xdr:rowOff>19050</xdr:rowOff>
    </xdr:from>
    <xdr:to>
      <xdr:col>0</xdr:col>
      <xdr:colOff>1019175</xdr:colOff>
      <xdr:row>11</xdr:row>
      <xdr:rowOff>104775</xdr:rowOff>
    </xdr:to>
    <xdr:sp macro="[0]!LEV2">
      <xdr:nvSpPr>
        <xdr:cNvPr id="2" name="Rectangle 120"/>
        <xdr:cNvSpPr>
          <a:spLocks/>
        </xdr:cNvSpPr>
      </xdr:nvSpPr>
      <xdr:spPr>
        <a:xfrm>
          <a:off x="295275" y="1828800"/>
          <a:ext cx="723900" cy="257175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2</a:t>
          </a:r>
        </a:p>
      </xdr:txBody>
    </xdr:sp>
    <xdr:clientData/>
  </xdr:twoCellAnchor>
  <xdr:twoCellAnchor>
    <xdr:from>
      <xdr:col>0</xdr:col>
      <xdr:colOff>295275</xdr:colOff>
      <xdr:row>12</xdr:row>
      <xdr:rowOff>0</xdr:rowOff>
    </xdr:from>
    <xdr:to>
      <xdr:col>0</xdr:col>
      <xdr:colOff>1019175</xdr:colOff>
      <xdr:row>13</xdr:row>
      <xdr:rowOff>76200</xdr:rowOff>
    </xdr:to>
    <xdr:sp macro="[0]!LEV3">
      <xdr:nvSpPr>
        <xdr:cNvPr id="3" name="Rectangle 121"/>
        <xdr:cNvSpPr>
          <a:spLocks/>
        </xdr:cNvSpPr>
      </xdr:nvSpPr>
      <xdr:spPr>
        <a:xfrm>
          <a:off x="295275" y="215265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3</a:t>
          </a:r>
        </a:p>
      </xdr:txBody>
    </xdr:sp>
    <xdr:clientData/>
  </xdr:twoCellAnchor>
  <xdr:twoCellAnchor>
    <xdr:from>
      <xdr:col>0</xdr:col>
      <xdr:colOff>285750</xdr:colOff>
      <xdr:row>8</xdr:row>
      <xdr:rowOff>123825</xdr:rowOff>
    </xdr:from>
    <xdr:to>
      <xdr:col>0</xdr:col>
      <xdr:colOff>1009650</xdr:colOff>
      <xdr:row>9</xdr:row>
      <xdr:rowOff>123825</xdr:rowOff>
    </xdr:to>
    <xdr:sp macro="[0]!lev1oz">
      <xdr:nvSpPr>
        <xdr:cNvPr id="4" name="Rectangle 122"/>
        <xdr:cNvSpPr>
          <a:spLocks/>
        </xdr:cNvSpPr>
      </xdr:nvSpPr>
      <xdr:spPr>
        <a:xfrm>
          <a:off x="285750" y="151447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1+</a:t>
          </a:r>
        </a:p>
      </xdr:txBody>
    </xdr:sp>
    <xdr:clientData/>
  </xdr:twoCellAnchor>
  <xdr:twoCellAnchor>
    <xdr:from>
      <xdr:col>0</xdr:col>
      <xdr:colOff>304800</xdr:colOff>
      <xdr:row>13</xdr:row>
      <xdr:rowOff>152400</xdr:rowOff>
    </xdr:from>
    <xdr:to>
      <xdr:col>0</xdr:col>
      <xdr:colOff>1028700</xdr:colOff>
      <xdr:row>15</xdr:row>
      <xdr:rowOff>57150</xdr:rowOff>
    </xdr:to>
    <xdr:sp macro="[0]!lev4">
      <xdr:nvSpPr>
        <xdr:cNvPr id="5" name="Rectangle 123"/>
        <xdr:cNvSpPr>
          <a:spLocks/>
        </xdr:cNvSpPr>
      </xdr:nvSpPr>
      <xdr:spPr>
        <a:xfrm>
          <a:off x="304800" y="247650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4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16</xdr:row>
      <xdr:rowOff>0</xdr:rowOff>
    </xdr:to>
    <xdr:sp>
      <xdr:nvSpPr>
        <xdr:cNvPr id="6" name="Rectangle 126"/>
        <xdr:cNvSpPr>
          <a:spLocks/>
        </xdr:cNvSpPr>
      </xdr:nvSpPr>
      <xdr:spPr>
        <a:xfrm>
          <a:off x="1381125" y="1390650"/>
          <a:ext cx="49625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7" name="Rectangle 127"/>
        <xdr:cNvSpPr>
          <a:spLocks/>
        </xdr:cNvSpPr>
      </xdr:nvSpPr>
      <xdr:spPr>
        <a:xfrm>
          <a:off x="1381125" y="0"/>
          <a:ext cx="496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16</xdr:row>
      <xdr:rowOff>123825</xdr:rowOff>
    </xdr:from>
    <xdr:to>
      <xdr:col>1</xdr:col>
      <xdr:colOff>2105025</xdr:colOff>
      <xdr:row>19</xdr:row>
      <xdr:rowOff>57150</xdr:rowOff>
    </xdr:to>
    <xdr:sp macro="[0]!ana">
      <xdr:nvSpPr>
        <xdr:cNvPr id="8" name="AutoShape 129"/>
        <xdr:cNvSpPr>
          <a:spLocks/>
        </xdr:cNvSpPr>
      </xdr:nvSpPr>
      <xdr:spPr>
        <a:xfrm>
          <a:off x="3057525" y="2962275"/>
          <a:ext cx="428625" cy="419100"/>
        </a:xfrm>
        <a:prstGeom prst="lef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9525</xdr:rowOff>
    </xdr:from>
    <xdr:to>
      <xdr:col>0</xdr:col>
      <xdr:colOff>1123950</xdr:colOff>
      <xdr:row>15</xdr:row>
      <xdr:rowOff>161925</xdr:rowOff>
    </xdr:to>
    <xdr:sp>
      <xdr:nvSpPr>
        <xdr:cNvPr id="1" name="Rectangle 21"/>
        <xdr:cNvSpPr>
          <a:spLocks/>
        </xdr:cNvSpPr>
      </xdr:nvSpPr>
      <xdr:spPr>
        <a:xfrm>
          <a:off x="209550" y="1400175"/>
          <a:ext cx="914400" cy="1428750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</xdr:row>
      <xdr:rowOff>0</xdr:rowOff>
    </xdr:from>
    <xdr:to>
      <xdr:col>0</xdr:col>
      <xdr:colOff>1028700</xdr:colOff>
      <xdr:row>11</xdr:row>
      <xdr:rowOff>85725</xdr:rowOff>
    </xdr:to>
    <xdr:sp macro="[0]!lev1">
      <xdr:nvSpPr>
        <xdr:cNvPr id="2" name="Rectangle 16"/>
        <xdr:cNvSpPr>
          <a:spLocks/>
        </xdr:cNvSpPr>
      </xdr:nvSpPr>
      <xdr:spPr>
        <a:xfrm>
          <a:off x="304800" y="1809750"/>
          <a:ext cx="723900" cy="257175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</a:t>
          </a:r>
        </a:p>
      </xdr:txBody>
    </xdr:sp>
    <xdr:clientData/>
  </xdr:twoCellAnchor>
  <xdr:twoCellAnchor>
    <xdr:from>
      <xdr:col>0</xdr:col>
      <xdr:colOff>304800</xdr:colOff>
      <xdr:row>11</xdr:row>
      <xdr:rowOff>161925</xdr:rowOff>
    </xdr:from>
    <xdr:to>
      <xdr:col>0</xdr:col>
      <xdr:colOff>1028700</xdr:colOff>
      <xdr:row>13</xdr:row>
      <xdr:rowOff>66675</xdr:rowOff>
    </xdr:to>
    <xdr:sp macro="[0]!LEV3">
      <xdr:nvSpPr>
        <xdr:cNvPr id="3" name="Rectangle 18"/>
        <xdr:cNvSpPr>
          <a:spLocks/>
        </xdr:cNvSpPr>
      </xdr:nvSpPr>
      <xdr:spPr>
        <a:xfrm>
          <a:off x="304800" y="214312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3</a:t>
          </a:r>
        </a:p>
      </xdr:txBody>
    </xdr:sp>
    <xdr:clientData/>
  </xdr:twoCellAnchor>
  <xdr:twoCellAnchor>
    <xdr:from>
      <xdr:col>0</xdr:col>
      <xdr:colOff>304800</xdr:colOff>
      <xdr:row>8</xdr:row>
      <xdr:rowOff>95250</xdr:rowOff>
    </xdr:from>
    <xdr:to>
      <xdr:col>0</xdr:col>
      <xdr:colOff>1028700</xdr:colOff>
      <xdr:row>9</xdr:row>
      <xdr:rowOff>95250</xdr:rowOff>
    </xdr:to>
    <xdr:sp macro="[0]!lev1oz">
      <xdr:nvSpPr>
        <xdr:cNvPr id="4" name="Rectangle 19"/>
        <xdr:cNvSpPr>
          <a:spLocks/>
        </xdr:cNvSpPr>
      </xdr:nvSpPr>
      <xdr:spPr>
        <a:xfrm>
          <a:off x="304800" y="148590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1+</a:t>
          </a:r>
        </a:p>
      </xdr:txBody>
    </xdr:sp>
    <xdr:clientData/>
  </xdr:twoCellAnchor>
  <xdr:twoCellAnchor>
    <xdr:from>
      <xdr:col>0</xdr:col>
      <xdr:colOff>304800</xdr:colOff>
      <xdr:row>13</xdr:row>
      <xdr:rowOff>142875</xdr:rowOff>
    </xdr:from>
    <xdr:to>
      <xdr:col>0</xdr:col>
      <xdr:colOff>1028700</xdr:colOff>
      <xdr:row>15</xdr:row>
      <xdr:rowOff>47625</xdr:rowOff>
    </xdr:to>
    <xdr:sp macro="[0]!lev4">
      <xdr:nvSpPr>
        <xdr:cNvPr id="5" name="Rectangle 20"/>
        <xdr:cNvSpPr>
          <a:spLocks/>
        </xdr:cNvSpPr>
      </xdr:nvSpPr>
      <xdr:spPr>
        <a:xfrm>
          <a:off x="304800" y="246697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4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17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1381125" y="1390650"/>
          <a:ext cx="4962525" cy="1609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16</xdr:row>
      <xdr:rowOff>0</xdr:rowOff>
    </xdr:to>
    <xdr:sp>
      <xdr:nvSpPr>
        <xdr:cNvPr id="7" name="Rectangle 27"/>
        <xdr:cNvSpPr>
          <a:spLocks/>
        </xdr:cNvSpPr>
      </xdr:nvSpPr>
      <xdr:spPr>
        <a:xfrm>
          <a:off x="1381125" y="1390650"/>
          <a:ext cx="49625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8" name="Rectangle 28"/>
        <xdr:cNvSpPr>
          <a:spLocks/>
        </xdr:cNvSpPr>
      </xdr:nvSpPr>
      <xdr:spPr>
        <a:xfrm>
          <a:off x="1381125" y="0"/>
          <a:ext cx="496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17</xdr:row>
      <xdr:rowOff>57150</xdr:rowOff>
    </xdr:from>
    <xdr:to>
      <xdr:col>1</xdr:col>
      <xdr:colOff>2095500</xdr:colOff>
      <xdr:row>19</xdr:row>
      <xdr:rowOff>152400</xdr:rowOff>
    </xdr:to>
    <xdr:sp macro="[0]!ana">
      <xdr:nvSpPr>
        <xdr:cNvPr id="9" name="AutoShape 29"/>
        <xdr:cNvSpPr>
          <a:spLocks/>
        </xdr:cNvSpPr>
      </xdr:nvSpPr>
      <xdr:spPr>
        <a:xfrm>
          <a:off x="3048000" y="3057525"/>
          <a:ext cx="428625" cy="419100"/>
        </a:xfrm>
        <a:prstGeom prst="lef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28575</xdr:rowOff>
    </xdr:from>
    <xdr:to>
      <xdr:col>0</xdr:col>
      <xdr:colOff>1095375</xdr:colOff>
      <xdr:row>16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80975" y="1419225"/>
          <a:ext cx="914400" cy="1419225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161925</xdr:rowOff>
    </xdr:from>
    <xdr:to>
      <xdr:col>0</xdr:col>
      <xdr:colOff>1000125</xdr:colOff>
      <xdr:row>11</xdr:row>
      <xdr:rowOff>76200</xdr:rowOff>
    </xdr:to>
    <xdr:sp macro="[0]!lev1">
      <xdr:nvSpPr>
        <xdr:cNvPr id="2" name="Rectangle 3"/>
        <xdr:cNvSpPr>
          <a:spLocks/>
        </xdr:cNvSpPr>
      </xdr:nvSpPr>
      <xdr:spPr>
        <a:xfrm>
          <a:off x="276225" y="1800225"/>
          <a:ext cx="723900" cy="257175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</a:t>
          </a:r>
        </a:p>
      </xdr:txBody>
    </xdr:sp>
    <xdr:clientData/>
  </xdr:twoCellAnchor>
  <xdr:twoCellAnchor>
    <xdr:from>
      <xdr:col>0</xdr:col>
      <xdr:colOff>266700</xdr:colOff>
      <xdr:row>8</xdr:row>
      <xdr:rowOff>85725</xdr:rowOff>
    </xdr:from>
    <xdr:to>
      <xdr:col>0</xdr:col>
      <xdr:colOff>990600</xdr:colOff>
      <xdr:row>9</xdr:row>
      <xdr:rowOff>85725</xdr:rowOff>
    </xdr:to>
    <xdr:sp macro="[0]!lev1oz">
      <xdr:nvSpPr>
        <xdr:cNvPr id="3" name="Rectangle 5"/>
        <xdr:cNvSpPr>
          <a:spLocks/>
        </xdr:cNvSpPr>
      </xdr:nvSpPr>
      <xdr:spPr>
        <a:xfrm>
          <a:off x="266700" y="147637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1+</a:t>
          </a:r>
        </a:p>
      </xdr:txBody>
    </xdr:sp>
    <xdr:clientData/>
  </xdr:twoCellAnchor>
  <xdr:twoCellAnchor>
    <xdr:from>
      <xdr:col>0</xdr:col>
      <xdr:colOff>285750</xdr:colOff>
      <xdr:row>13</xdr:row>
      <xdr:rowOff>133350</xdr:rowOff>
    </xdr:from>
    <xdr:to>
      <xdr:col>0</xdr:col>
      <xdr:colOff>1009650</xdr:colOff>
      <xdr:row>15</xdr:row>
      <xdr:rowOff>38100</xdr:rowOff>
    </xdr:to>
    <xdr:sp macro="[0]!lev4">
      <xdr:nvSpPr>
        <xdr:cNvPr id="4" name="Rectangle 6"/>
        <xdr:cNvSpPr>
          <a:spLocks/>
        </xdr:cNvSpPr>
      </xdr:nvSpPr>
      <xdr:spPr>
        <a:xfrm>
          <a:off x="285750" y="245745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4</a:t>
          </a:r>
        </a:p>
      </xdr:txBody>
    </xdr:sp>
    <xdr:clientData/>
  </xdr:twoCellAnchor>
  <xdr:twoCellAnchor>
    <xdr:from>
      <xdr:col>0</xdr:col>
      <xdr:colOff>276225</xdr:colOff>
      <xdr:row>11</xdr:row>
      <xdr:rowOff>152400</xdr:rowOff>
    </xdr:from>
    <xdr:to>
      <xdr:col>0</xdr:col>
      <xdr:colOff>1000125</xdr:colOff>
      <xdr:row>13</xdr:row>
      <xdr:rowOff>57150</xdr:rowOff>
    </xdr:to>
    <xdr:sp macro="[0]!LEV2">
      <xdr:nvSpPr>
        <xdr:cNvPr id="5" name="Rectangle 7"/>
        <xdr:cNvSpPr>
          <a:spLocks/>
        </xdr:cNvSpPr>
      </xdr:nvSpPr>
      <xdr:spPr>
        <a:xfrm>
          <a:off x="276225" y="213360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2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381125" y="1390650"/>
          <a:ext cx="49625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1381125" y="0"/>
          <a:ext cx="496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17</xdr:row>
      <xdr:rowOff>9525</xdr:rowOff>
    </xdr:from>
    <xdr:to>
      <xdr:col>1</xdr:col>
      <xdr:colOff>2095500</xdr:colOff>
      <xdr:row>19</xdr:row>
      <xdr:rowOff>104775</xdr:rowOff>
    </xdr:to>
    <xdr:sp macro="[0]!ana">
      <xdr:nvSpPr>
        <xdr:cNvPr id="8" name="AutoShape 13"/>
        <xdr:cNvSpPr>
          <a:spLocks/>
        </xdr:cNvSpPr>
      </xdr:nvSpPr>
      <xdr:spPr>
        <a:xfrm>
          <a:off x="3048000" y="3009900"/>
          <a:ext cx="428625" cy="419100"/>
        </a:xfrm>
        <a:prstGeom prst="lef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9</xdr:row>
      <xdr:rowOff>152400</xdr:rowOff>
    </xdr:from>
    <xdr:to>
      <xdr:col>5</xdr:col>
      <xdr:colOff>219075</xdr:colOff>
      <xdr:row>12</xdr:row>
      <xdr:rowOff>152400</xdr:rowOff>
    </xdr:to>
    <xdr:sp macro="[0]!fakc2">
      <xdr:nvSpPr>
        <xdr:cNvPr id="1" name="AutoShape 31"/>
        <xdr:cNvSpPr>
          <a:spLocks/>
        </xdr:cNvSpPr>
      </xdr:nvSpPr>
      <xdr:spPr>
        <a:xfrm>
          <a:off x="6067425" y="2562225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9</xdr:row>
      <xdr:rowOff>152400</xdr:rowOff>
    </xdr:from>
    <xdr:to>
      <xdr:col>4</xdr:col>
      <xdr:colOff>142875</xdr:colOff>
      <xdr:row>12</xdr:row>
      <xdr:rowOff>152400</xdr:rowOff>
    </xdr:to>
    <xdr:sp macro="[0]!ANA1">
      <xdr:nvSpPr>
        <xdr:cNvPr id="2" name="AutoShape 43"/>
        <xdr:cNvSpPr>
          <a:spLocks/>
        </xdr:cNvSpPr>
      </xdr:nvSpPr>
      <xdr:spPr>
        <a:xfrm flipH="1">
          <a:off x="5429250" y="2562225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285750</xdr:rowOff>
    </xdr:from>
    <xdr:to>
      <xdr:col>3</xdr:col>
      <xdr:colOff>171450</xdr:colOff>
      <xdr:row>5</xdr:row>
      <xdr:rowOff>285750</xdr:rowOff>
    </xdr:to>
    <xdr:sp>
      <xdr:nvSpPr>
        <xdr:cNvPr id="3" name="Rectangle 48"/>
        <xdr:cNvSpPr>
          <a:spLocks/>
        </xdr:cNvSpPr>
      </xdr:nvSpPr>
      <xdr:spPr>
        <a:xfrm>
          <a:off x="1066800" y="1314450"/>
          <a:ext cx="433387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Yapı,  Daha Yüksek YapılarArasında İse                                              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1066800</xdr:colOff>
      <xdr:row>5</xdr:row>
      <xdr:rowOff>285750</xdr:rowOff>
    </xdr:from>
    <xdr:to>
      <xdr:col>3</xdr:col>
      <xdr:colOff>171450</xdr:colOff>
      <xdr:row>6</xdr:row>
      <xdr:rowOff>285750</xdr:rowOff>
    </xdr:to>
    <xdr:sp>
      <xdr:nvSpPr>
        <xdr:cNvPr id="4" name="Rectangle 49"/>
        <xdr:cNvSpPr>
          <a:spLocks/>
        </xdr:cNvSpPr>
      </xdr:nvSpPr>
      <xdr:spPr>
        <a:xfrm>
          <a:off x="1066800" y="1609725"/>
          <a:ext cx="433387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Yapı,  En Yakın Binaya en az 3  (H) Mesafede İse                         </a:t>
          </a:r>
        </a:p>
      </xdr:txBody>
    </xdr:sp>
    <xdr:clientData/>
  </xdr:twoCellAnchor>
  <xdr:twoCellAnchor>
    <xdr:from>
      <xdr:col>0</xdr:col>
      <xdr:colOff>1066800</xdr:colOff>
      <xdr:row>6</xdr:row>
      <xdr:rowOff>285750</xdr:rowOff>
    </xdr:from>
    <xdr:to>
      <xdr:col>3</xdr:col>
      <xdr:colOff>171450</xdr:colOff>
      <xdr:row>7</xdr:row>
      <xdr:rowOff>285750</xdr:rowOff>
    </xdr:to>
    <xdr:sp>
      <xdr:nvSpPr>
        <xdr:cNvPr id="5" name="Rectangle 50"/>
        <xdr:cNvSpPr>
          <a:spLocks/>
        </xdr:cNvSpPr>
      </xdr:nvSpPr>
      <xdr:spPr>
        <a:xfrm>
          <a:off x="1066800" y="1905000"/>
          <a:ext cx="433387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Yapı, Tepe Üzerinde En Yüksek Noktada İse                                     </a:t>
          </a:r>
        </a:p>
      </xdr:txBody>
    </xdr:sp>
    <xdr:clientData/>
  </xdr:twoCellAnchor>
  <xdr:twoCellAnchor>
    <xdr:from>
      <xdr:col>0</xdr:col>
      <xdr:colOff>1066800</xdr:colOff>
      <xdr:row>4</xdr:row>
      <xdr:rowOff>0</xdr:rowOff>
    </xdr:from>
    <xdr:to>
      <xdr:col>3</xdr:col>
      <xdr:colOff>171450</xdr:colOff>
      <xdr:row>5</xdr:row>
      <xdr:rowOff>0</xdr:rowOff>
    </xdr:to>
    <xdr:sp>
      <xdr:nvSpPr>
        <xdr:cNvPr id="6" name="Rectangle 51"/>
        <xdr:cNvSpPr>
          <a:spLocks/>
        </xdr:cNvSpPr>
      </xdr:nvSpPr>
      <xdr:spPr>
        <a:xfrm>
          <a:off x="1066800" y="1028700"/>
          <a:ext cx="433387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Yapı,  Aynı Yükseklikteki diğer yapılar Veya Ağaçlar arasında ise    </a:t>
          </a:r>
        </a:p>
      </xdr:txBody>
    </xdr:sp>
    <xdr:clientData/>
  </xdr:twoCellAnchor>
  <xdr:twoCellAnchor>
    <xdr:from>
      <xdr:col>0</xdr:col>
      <xdr:colOff>1057275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7" name="Rectangle 52"/>
        <xdr:cNvSpPr>
          <a:spLocks/>
        </xdr:cNvSpPr>
      </xdr:nvSpPr>
      <xdr:spPr>
        <a:xfrm>
          <a:off x="1057275" y="1028700"/>
          <a:ext cx="513397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</xdr:row>
      <xdr:rowOff>19050</xdr:rowOff>
    </xdr:from>
    <xdr:to>
      <xdr:col>1</xdr:col>
      <xdr:colOff>238125</xdr:colOff>
      <xdr:row>10</xdr:row>
      <xdr:rowOff>104775</xdr:rowOff>
    </xdr:to>
    <xdr:sp macro="[0]!ekran2">
      <xdr:nvSpPr>
        <xdr:cNvPr id="8" name="Oval 53"/>
        <xdr:cNvSpPr>
          <a:spLocks/>
        </xdr:cNvSpPr>
      </xdr:nvSpPr>
      <xdr:spPr>
        <a:xfrm flipV="1">
          <a:off x="1333500" y="2428875"/>
          <a:ext cx="285750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0</xdr:rowOff>
    </xdr:from>
    <xdr:to>
      <xdr:col>4</xdr:col>
      <xdr:colOff>238125</xdr:colOff>
      <xdr:row>5</xdr:row>
      <xdr:rowOff>0</xdr:rowOff>
    </xdr:to>
    <xdr:sp>
      <xdr:nvSpPr>
        <xdr:cNvPr id="9" name="Rectangle 55"/>
        <xdr:cNvSpPr>
          <a:spLocks/>
        </xdr:cNvSpPr>
      </xdr:nvSpPr>
      <xdr:spPr>
        <a:xfrm>
          <a:off x="5400675" y="1028700"/>
          <a:ext cx="46672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0,25               </a:t>
          </a:r>
        </a:p>
      </xdr:txBody>
    </xdr:sp>
    <xdr:clientData/>
  </xdr:twoCellAnchor>
  <xdr:twoCellAnchor>
    <xdr:from>
      <xdr:col>3</xdr:col>
      <xdr:colOff>171450</xdr:colOff>
      <xdr:row>5</xdr:row>
      <xdr:rowOff>0</xdr:rowOff>
    </xdr:from>
    <xdr:to>
      <xdr:col>4</xdr:col>
      <xdr:colOff>238125</xdr:colOff>
      <xdr:row>6</xdr:row>
      <xdr:rowOff>0</xdr:rowOff>
    </xdr:to>
    <xdr:sp>
      <xdr:nvSpPr>
        <xdr:cNvPr id="10" name="Rectangle 56"/>
        <xdr:cNvSpPr>
          <a:spLocks/>
        </xdr:cNvSpPr>
      </xdr:nvSpPr>
      <xdr:spPr>
        <a:xfrm>
          <a:off x="5400675" y="1323975"/>
          <a:ext cx="46672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0,50</a:t>
          </a:r>
        </a:p>
      </xdr:txBody>
    </xdr:sp>
    <xdr:clientData/>
  </xdr:twoCellAnchor>
  <xdr:twoCellAnchor>
    <xdr:from>
      <xdr:col>3</xdr:col>
      <xdr:colOff>171450</xdr:colOff>
      <xdr:row>5</xdr:row>
      <xdr:rowOff>285750</xdr:rowOff>
    </xdr:from>
    <xdr:to>
      <xdr:col>4</xdr:col>
      <xdr:colOff>238125</xdr:colOff>
      <xdr:row>6</xdr:row>
      <xdr:rowOff>285750</xdr:rowOff>
    </xdr:to>
    <xdr:sp>
      <xdr:nvSpPr>
        <xdr:cNvPr id="11" name="Rectangle 57"/>
        <xdr:cNvSpPr>
          <a:spLocks/>
        </xdr:cNvSpPr>
      </xdr:nvSpPr>
      <xdr:spPr>
        <a:xfrm>
          <a:off x="5400675" y="1609725"/>
          <a:ext cx="46672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1         </a:t>
          </a:r>
        </a:p>
      </xdr:txBody>
    </xdr:sp>
    <xdr:clientData/>
  </xdr:twoCellAnchor>
  <xdr:twoCellAnchor>
    <xdr:from>
      <xdr:col>3</xdr:col>
      <xdr:colOff>171450</xdr:colOff>
      <xdr:row>6</xdr:row>
      <xdr:rowOff>285750</xdr:rowOff>
    </xdr:from>
    <xdr:to>
      <xdr:col>4</xdr:col>
      <xdr:colOff>238125</xdr:colOff>
      <xdr:row>7</xdr:row>
      <xdr:rowOff>285750</xdr:rowOff>
    </xdr:to>
    <xdr:sp>
      <xdr:nvSpPr>
        <xdr:cNvPr id="12" name="Rectangle 58"/>
        <xdr:cNvSpPr>
          <a:spLocks/>
        </xdr:cNvSpPr>
      </xdr:nvSpPr>
      <xdr:spPr>
        <a:xfrm>
          <a:off x="5400675" y="1905000"/>
          <a:ext cx="466725" cy="2952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2            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19050</xdr:rowOff>
    </xdr:from>
    <xdr:to>
      <xdr:col>0</xdr:col>
      <xdr:colOff>1066800</xdr:colOff>
      <xdr:row>15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152400" y="1409700"/>
          <a:ext cx="914400" cy="1419225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9525</xdr:rowOff>
    </xdr:from>
    <xdr:to>
      <xdr:col>0</xdr:col>
      <xdr:colOff>962025</xdr:colOff>
      <xdr:row>11</xdr:row>
      <xdr:rowOff>95250</xdr:rowOff>
    </xdr:to>
    <xdr:sp macro="[0]!lev1">
      <xdr:nvSpPr>
        <xdr:cNvPr id="2" name="Rectangle 3"/>
        <xdr:cNvSpPr>
          <a:spLocks/>
        </xdr:cNvSpPr>
      </xdr:nvSpPr>
      <xdr:spPr>
        <a:xfrm>
          <a:off x="238125" y="1819275"/>
          <a:ext cx="723900" cy="257175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</a:t>
          </a:r>
        </a:p>
      </xdr:txBody>
    </xdr:sp>
    <xdr:clientData/>
  </xdr:twoCellAnchor>
  <xdr:twoCellAnchor>
    <xdr:from>
      <xdr:col>0</xdr:col>
      <xdr:colOff>238125</xdr:colOff>
      <xdr:row>12</xdr:row>
      <xdr:rowOff>0</xdr:rowOff>
    </xdr:from>
    <xdr:to>
      <xdr:col>0</xdr:col>
      <xdr:colOff>962025</xdr:colOff>
      <xdr:row>13</xdr:row>
      <xdr:rowOff>76200</xdr:rowOff>
    </xdr:to>
    <xdr:sp macro="[0]!LEV2">
      <xdr:nvSpPr>
        <xdr:cNvPr id="3" name="Rectangle 4"/>
        <xdr:cNvSpPr>
          <a:spLocks/>
        </xdr:cNvSpPr>
      </xdr:nvSpPr>
      <xdr:spPr>
        <a:xfrm>
          <a:off x="238125" y="215265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2</a:t>
          </a:r>
        </a:p>
      </xdr:txBody>
    </xdr:sp>
    <xdr:clientData/>
  </xdr:twoCellAnchor>
  <xdr:twoCellAnchor>
    <xdr:from>
      <xdr:col>0</xdr:col>
      <xdr:colOff>238125</xdr:colOff>
      <xdr:row>8</xdr:row>
      <xdr:rowOff>104775</xdr:rowOff>
    </xdr:from>
    <xdr:to>
      <xdr:col>0</xdr:col>
      <xdr:colOff>962025</xdr:colOff>
      <xdr:row>9</xdr:row>
      <xdr:rowOff>104775</xdr:rowOff>
    </xdr:to>
    <xdr:sp macro="[0]!lev1oz">
      <xdr:nvSpPr>
        <xdr:cNvPr id="4" name="Rectangle 5"/>
        <xdr:cNvSpPr>
          <a:spLocks/>
        </xdr:cNvSpPr>
      </xdr:nvSpPr>
      <xdr:spPr>
        <a:xfrm>
          <a:off x="238125" y="1495425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1+</a:t>
          </a:r>
        </a:p>
      </xdr:txBody>
    </xdr:sp>
    <xdr:clientData/>
  </xdr:twoCellAnchor>
  <xdr:twoCellAnchor>
    <xdr:from>
      <xdr:col>0</xdr:col>
      <xdr:colOff>247650</xdr:colOff>
      <xdr:row>13</xdr:row>
      <xdr:rowOff>152400</xdr:rowOff>
    </xdr:from>
    <xdr:to>
      <xdr:col>0</xdr:col>
      <xdr:colOff>971550</xdr:colOff>
      <xdr:row>15</xdr:row>
      <xdr:rowOff>57150</xdr:rowOff>
    </xdr:to>
    <xdr:sp macro="[0]!LEV3">
      <xdr:nvSpPr>
        <xdr:cNvPr id="5" name="Rectangle 6"/>
        <xdr:cNvSpPr>
          <a:spLocks/>
        </xdr:cNvSpPr>
      </xdr:nvSpPr>
      <xdr:spPr>
        <a:xfrm>
          <a:off x="247650" y="2476500"/>
          <a:ext cx="723900" cy="247650"/>
        </a:xfrm>
        <a:prstGeom prst="rect">
          <a:avLst/>
        </a:prstGeom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LEVEL 3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381125" y="1390650"/>
          <a:ext cx="49625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1381125" y="0"/>
          <a:ext cx="496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1724025</xdr:colOff>
      <xdr:row>17</xdr:row>
      <xdr:rowOff>47625</xdr:rowOff>
    </xdr:from>
    <xdr:to>
      <xdr:col>1</xdr:col>
      <xdr:colOff>2152650</xdr:colOff>
      <xdr:row>19</xdr:row>
      <xdr:rowOff>142875</xdr:rowOff>
    </xdr:to>
    <xdr:sp macro="[0]!ana">
      <xdr:nvSpPr>
        <xdr:cNvPr id="8" name="AutoShape 14"/>
        <xdr:cNvSpPr>
          <a:spLocks/>
        </xdr:cNvSpPr>
      </xdr:nvSpPr>
      <xdr:spPr>
        <a:xfrm>
          <a:off x="3105150" y="3048000"/>
          <a:ext cx="428625" cy="419100"/>
        </a:xfrm>
        <a:prstGeom prst="lef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0</xdr:colOff>
      <xdr:row>9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14375" y="1057275"/>
          <a:ext cx="58102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114300</xdr:rowOff>
    </xdr:from>
    <xdr:to>
      <xdr:col>8</xdr:col>
      <xdr:colOff>257175</xdr:colOff>
      <xdr:row>6</xdr:row>
      <xdr:rowOff>114300</xdr:rowOff>
    </xdr:to>
    <xdr:sp>
      <xdr:nvSpPr>
        <xdr:cNvPr id="2" name="Line 23"/>
        <xdr:cNvSpPr>
          <a:spLocks/>
        </xdr:cNvSpPr>
      </xdr:nvSpPr>
      <xdr:spPr>
        <a:xfrm>
          <a:off x="419100" y="1485900"/>
          <a:ext cx="6362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9</xdr:row>
      <xdr:rowOff>238125</xdr:rowOff>
    </xdr:from>
    <xdr:to>
      <xdr:col>7</xdr:col>
      <xdr:colOff>1171575</xdr:colOff>
      <xdr:row>11</xdr:row>
      <xdr:rowOff>142875</xdr:rowOff>
    </xdr:to>
    <xdr:sp macro="[0]!fakc3">
      <xdr:nvSpPr>
        <xdr:cNvPr id="3" name="AutoShape 26"/>
        <xdr:cNvSpPr>
          <a:spLocks/>
        </xdr:cNvSpPr>
      </xdr:nvSpPr>
      <xdr:spPr>
        <a:xfrm>
          <a:off x="6038850" y="2552700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9</xdr:row>
      <xdr:rowOff>238125</xdr:rowOff>
    </xdr:from>
    <xdr:to>
      <xdr:col>7</xdr:col>
      <xdr:colOff>533400</xdr:colOff>
      <xdr:row>11</xdr:row>
      <xdr:rowOff>142875</xdr:rowOff>
    </xdr:to>
    <xdr:sp macro="[0]!fakc1">
      <xdr:nvSpPr>
        <xdr:cNvPr id="4" name="AutoShape 27"/>
        <xdr:cNvSpPr>
          <a:spLocks/>
        </xdr:cNvSpPr>
      </xdr:nvSpPr>
      <xdr:spPr>
        <a:xfrm flipH="1">
          <a:off x="5400675" y="2552700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5" name="Rectangle 30"/>
        <xdr:cNvSpPr>
          <a:spLocks/>
        </xdr:cNvSpPr>
      </xdr:nvSpPr>
      <xdr:spPr>
        <a:xfrm>
          <a:off x="714375" y="1057275"/>
          <a:ext cx="17716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Yapı  /   Çatı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31"/>
        <xdr:cNvSpPr>
          <a:spLocks/>
        </xdr:cNvSpPr>
      </xdr:nvSpPr>
      <xdr:spPr>
        <a:xfrm>
          <a:off x="714375" y="1371600"/>
          <a:ext cx="17716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Metal Yapı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32"/>
        <xdr:cNvSpPr>
          <a:spLocks/>
        </xdr:cNvSpPr>
      </xdr:nvSpPr>
      <xdr:spPr>
        <a:xfrm>
          <a:off x="714375" y="1685925"/>
          <a:ext cx="17716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Tuğla,Beton yapı        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8" name="Rectangle 33"/>
        <xdr:cNvSpPr>
          <a:spLocks/>
        </xdr:cNvSpPr>
      </xdr:nvSpPr>
      <xdr:spPr>
        <a:xfrm>
          <a:off x="714375" y="2000250"/>
          <a:ext cx="17716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Tutuşabilir Yapı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9" name="Rectangle 34"/>
        <xdr:cNvSpPr>
          <a:spLocks/>
        </xdr:cNvSpPr>
      </xdr:nvSpPr>
      <xdr:spPr>
        <a:xfrm>
          <a:off x="2486025" y="1057275"/>
          <a:ext cx="1362075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Metal Çatılar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35"/>
        <xdr:cNvSpPr>
          <a:spLocks/>
        </xdr:cNvSpPr>
      </xdr:nvSpPr>
      <xdr:spPr>
        <a:xfrm>
          <a:off x="3848100" y="1057275"/>
          <a:ext cx="1362075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Kiremit Çatılar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1314450</xdr:colOff>
      <xdr:row>6</xdr:row>
      <xdr:rowOff>0</xdr:rowOff>
    </xdr:to>
    <xdr:sp>
      <xdr:nvSpPr>
        <xdr:cNvPr id="11" name="Rectangle 36"/>
        <xdr:cNvSpPr>
          <a:spLocks/>
        </xdr:cNvSpPr>
      </xdr:nvSpPr>
      <xdr:spPr>
        <a:xfrm>
          <a:off x="5210175" y="1057275"/>
          <a:ext cx="1314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Tutuşabilir Çatılar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942975</xdr:colOff>
      <xdr:row>7</xdr:row>
      <xdr:rowOff>0</xdr:rowOff>
    </xdr:to>
    <xdr:sp>
      <xdr:nvSpPr>
        <xdr:cNvPr id="12" name="Rectangle 37"/>
        <xdr:cNvSpPr>
          <a:spLocks/>
        </xdr:cNvSpPr>
      </xdr:nvSpPr>
      <xdr:spPr>
        <a:xfrm>
          <a:off x="2486025" y="1371600"/>
          <a:ext cx="942975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0,50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942975</xdr:colOff>
      <xdr:row>8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2486025" y="1685925"/>
          <a:ext cx="942975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1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942975</xdr:colOff>
      <xdr:row>9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2486025" y="2000250"/>
          <a:ext cx="942975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933450</xdr:colOff>
      <xdr:row>7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3848100" y="1371600"/>
          <a:ext cx="933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933450</xdr:colOff>
      <xdr:row>8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3848100" y="1685925"/>
          <a:ext cx="933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1,50</a:t>
          </a:r>
        </a:p>
      </xdr:txBody>
    </xdr:sp>
    <xdr:clientData/>
  </xdr:twoCellAnchor>
  <xdr:twoCellAnchor>
    <xdr:from>
      <xdr:col>5</xdr:col>
      <xdr:colOff>0</xdr:colOff>
      <xdr:row>7</xdr:row>
      <xdr:rowOff>304800</xdr:rowOff>
    </xdr:from>
    <xdr:to>
      <xdr:col>5</xdr:col>
      <xdr:colOff>933450</xdr:colOff>
      <xdr:row>8</xdr:row>
      <xdr:rowOff>304800</xdr:rowOff>
    </xdr:to>
    <xdr:sp>
      <xdr:nvSpPr>
        <xdr:cNvPr id="17" name="Rectangle 42"/>
        <xdr:cNvSpPr>
          <a:spLocks/>
        </xdr:cNvSpPr>
      </xdr:nvSpPr>
      <xdr:spPr>
        <a:xfrm>
          <a:off x="3848100" y="1990725"/>
          <a:ext cx="933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2,50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933450</xdr:colOff>
      <xdr:row>7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5210175" y="1371600"/>
          <a:ext cx="933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933450</xdr:colOff>
      <xdr:row>8</xdr:row>
      <xdr:rowOff>0</xdr:rowOff>
    </xdr:to>
    <xdr:sp>
      <xdr:nvSpPr>
        <xdr:cNvPr id="19" name="Rectangle 44"/>
        <xdr:cNvSpPr>
          <a:spLocks/>
        </xdr:cNvSpPr>
      </xdr:nvSpPr>
      <xdr:spPr>
        <a:xfrm>
          <a:off x="5210175" y="1685925"/>
          <a:ext cx="933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2,50</a:t>
          </a:r>
        </a:p>
      </xdr:txBody>
    </xdr:sp>
    <xdr:clientData/>
  </xdr:twoCellAnchor>
  <xdr:twoCellAnchor>
    <xdr:from>
      <xdr:col>7</xdr:col>
      <xdr:colOff>0</xdr:colOff>
      <xdr:row>7</xdr:row>
      <xdr:rowOff>304800</xdr:rowOff>
    </xdr:from>
    <xdr:to>
      <xdr:col>7</xdr:col>
      <xdr:colOff>933450</xdr:colOff>
      <xdr:row>8</xdr:row>
      <xdr:rowOff>304800</xdr:rowOff>
    </xdr:to>
    <xdr:sp>
      <xdr:nvSpPr>
        <xdr:cNvPr id="20" name="Rectangle 45"/>
        <xdr:cNvSpPr>
          <a:spLocks/>
        </xdr:cNvSpPr>
      </xdr:nvSpPr>
      <xdr:spPr>
        <a:xfrm>
          <a:off x="5210175" y="1990725"/>
          <a:ext cx="933450" cy="3143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619125</xdr:colOff>
      <xdr:row>10</xdr:row>
      <xdr:rowOff>114300</xdr:rowOff>
    </xdr:from>
    <xdr:to>
      <xdr:col>1</xdr:col>
      <xdr:colOff>904875</xdr:colOff>
      <xdr:row>11</xdr:row>
      <xdr:rowOff>76200</xdr:rowOff>
    </xdr:to>
    <xdr:sp macro="[0]!ekran2">
      <xdr:nvSpPr>
        <xdr:cNvPr id="21" name="Oval 53"/>
        <xdr:cNvSpPr>
          <a:spLocks/>
        </xdr:cNvSpPr>
      </xdr:nvSpPr>
      <xdr:spPr>
        <a:xfrm flipV="1">
          <a:off x="1333500" y="2752725"/>
          <a:ext cx="285750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9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914400" y="1228725"/>
          <a:ext cx="49625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123825</xdr:rowOff>
    </xdr:from>
    <xdr:to>
      <xdr:col>5</xdr:col>
      <xdr:colOff>485775</xdr:colOff>
      <xdr:row>12</xdr:row>
      <xdr:rowOff>28575</xdr:rowOff>
    </xdr:to>
    <xdr:sp macro="[0]!fakc4">
      <xdr:nvSpPr>
        <xdr:cNvPr id="2" name="AutoShape 14"/>
        <xdr:cNvSpPr>
          <a:spLocks/>
        </xdr:cNvSpPr>
      </xdr:nvSpPr>
      <xdr:spPr>
        <a:xfrm>
          <a:off x="6019800" y="2686050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123825</xdr:rowOff>
    </xdr:from>
    <xdr:to>
      <xdr:col>4</xdr:col>
      <xdr:colOff>457200</xdr:colOff>
      <xdr:row>12</xdr:row>
      <xdr:rowOff>28575</xdr:rowOff>
    </xdr:to>
    <xdr:sp macro="[0]!fakc2">
      <xdr:nvSpPr>
        <xdr:cNvPr id="3" name="AutoShape 15"/>
        <xdr:cNvSpPr>
          <a:spLocks/>
        </xdr:cNvSpPr>
      </xdr:nvSpPr>
      <xdr:spPr>
        <a:xfrm flipH="1">
          <a:off x="5381625" y="2686050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1</xdr:col>
      <xdr:colOff>2066925</xdr:colOff>
      <xdr:row>5</xdr:row>
      <xdr:rowOff>323850</xdr:rowOff>
    </xdr:to>
    <xdr:sp>
      <xdr:nvSpPr>
        <xdr:cNvPr id="4" name="Rectangle 18"/>
        <xdr:cNvSpPr>
          <a:spLocks/>
        </xdr:cNvSpPr>
      </xdr:nvSpPr>
      <xdr:spPr>
        <a:xfrm>
          <a:off x="923925" y="1228725"/>
          <a:ext cx="20574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Değersiz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2066925</xdr:colOff>
      <xdr:row>6</xdr:row>
      <xdr:rowOff>323850</xdr:rowOff>
    </xdr:to>
    <xdr:sp>
      <xdr:nvSpPr>
        <xdr:cNvPr id="5" name="Rectangle 19"/>
        <xdr:cNvSpPr>
          <a:spLocks/>
        </xdr:cNvSpPr>
      </xdr:nvSpPr>
      <xdr:spPr>
        <a:xfrm>
          <a:off x="923925" y="1562100"/>
          <a:ext cx="20574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Normal Değer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1</xdr:col>
      <xdr:colOff>2066925</xdr:colOff>
      <xdr:row>7</xdr:row>
      <xdr:rowOff>323850</xdr:rowOff>
    </xdr:to>
    <xdr:sp>
      <xdr:nvSpPr>
        <xdr:cNvPr id="6" name="Rectangle 20"/>
        <xdr:cNvSpPr>
          <a:spLocks/>
        </xdr:cNvSpPr>
      </xdr:nvSpPr>
      <xdr:spPr>
        <a:xfrm>
          <a:off x="923925" y="1895475"/>
          <a:ext cx="20574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Kıymetli                                                                       </a:t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1</xdr:col>
      <xdr:colOff>2066925</xdr:colOff>
      <xdr:row>8</xdr:row>
      <xdr:rowOff>323850</xdr:rowOff>
    </xdr:to>
    <xdr:sp>
      <xdr:nvSpPr>
        <xdr:cNvPr id="7" name="Rectangle 21"/>
        <xdr:cNvSpPr>
          <a:spLocks/>
        </xdr:cNvSpPr>
      </xdr:nvSpPr>
      <xdr:spPr>
        <a:xfrm>
          <a:off x="923925" y="2228850"/>
          <a:ext cx="20574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Çok Değerli  / Yeri doldurulamaz                   </a:t>
          </a:r>
        </a:p>
      </xdr:txBody>
    </xdr:sp>
    <xdr:clientData/>
  </xdr:twoCellAnchor>
  <xdr:twoCellAnchor>
    <xdr:from>
      <xdr:col>1</xdr:col>
      <xdr:colOff>390525</xdr:colOff>
      <xdr:row>10</xdr:row>
      <xdr:rowOff>47625</xdr:rowOff>
    </xdr:from>
    <xdr:to>
      <xdr:col>1</xdr:col>
      <xdr:colOff>676275</xdr:colOff>
      <xdr:row>12</xdr:row>
      <xdr:rowOff>9525</xdr:rowOff>
    </xdr:to>
    <xdr:sp macro="[0]!ekran2">
      <xdr:nvSpPr>
        <xdr:cNvPr id="8" name="Oval 22"/>
        <xdr:cNvSpPr>
          <a:spLocks/>
        </xdr:cNvSpPr>
      </xdr:nvSpPr>
      <xdr:spPr>
        <a:xfrm flipV="1">
          <a:off x="1304925" y="2933700"/>
          <a:ext cx="285750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0</xdr:rowOff>
    </xdr:from>
    <xdr:to>
      <xdr:col>4</xdr:col>
      <xdr:colOff>295275</xdr:colOff>
      <xdr:row>5</xdr:row>
      <xdr:rowOff>323850</xdr:rowOff>
    </xdr:to>
    <xdr:sp>
      <xdr:nvSpPr>
        <xdr:cNvPr id="9" name="Rectangle 23"/>
        <xdr:cNvSpPr>
          <a:spLocks/>
        </xdr:cNvSpPr>
      </xdr:nvSpPr>
      <xdr:spPr>
        <a:xfrm>
          <a:off x="5086350" y="1228725"/>
          <a:ext cx="47625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0,5          </a:t>
          </a:r>
        </a:p>
      </xdr:txBody>
    </xdr:sp>
    <xdr:clientData/>
  </xdr:twoCellAnchor>
  <xdr:twoCellAnchor>
    <xdr:from>
      <xdr:col>3</xdr:col>
      <xdr:colOff>428625</xdr:colOff>
      <xdr:row>6</xdr:row>
      <xdr:rowOff>0</xdr:rowOff>
    </xdr:from>
    <xdr:to>
      <xdr:col>4</xdr:col>
      <xdr:colOff>295275</xdr:colOff>
      <xdr:row>6</xdr:row>
      <xdr:rowOff>323850</xdr:rowOff>
    </xdr:to>
    <xdr:sp>
      <xdr:nvSpPr>
        <xdr:cNvPr id="10" name="Rectangle 24"/>
        <xdr:cNvSpPr>
          <a:spLocks/>
        </xdr:cNvSpPr>
      </xdr:nvSpPr>
      <xdr:spPr>
        <a:xfrm>
          <a:off x="5086350" y="1562100"/>
          <a:ext cx="47625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               </a:t>
          </a:r>
        </a:p>
      </xdr:txBody>
    </xdr:sp>
    <xdr:clientData/>
  </xdr:twoCellAnchor>
  <xdr:twoCellAnchor>
    <xdr:from>
      <xdr:col>3</xdr:col>
      <xdr:colOff>428625</xdr:colOff>
      <xdr:row>7</xdr:row>
      <xdr:rowOff>0</xdr:rowOff>
    </xdr:from>
    <xdr:to>
      <xdr:col>4</xdr:col>
      <xdr:colOff>295275</xdr:colOff>
      <xdr:row>7</xdr:row>
      <xdr:rowOff>323850</xdr:rowOff>
    </xdr:to>
    <xdr:sp>
      <xdr:nvSpPr>
        <xdr:cNvPr id="11" name="Rectangle 25"/>
        <xdr:cNvSpPr>
          <a:spLocks/>
        </xdr:cNvSpPr>
      </xdr:nvSpPr>
      <xdr:spPr>
        <a:xfrm>
          <a:off x="5086350" y="1895475"/>
          <a:ext cx="47625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               </a:t>
          </a:r>
        </a:p>
      </xdr:txBody>
    </xdr:sp>
    <xdr:clientData/>
  </xdr:twoCellAnchor>
  <xdr:twoCellAnchor>
    <xdr:from>
      <xdr:col>3</xdr:col>
      <xdr:colOff>428625</xdr:colOff>
      <xdr:row>8</xdr:row>
      <xdr:rowOff>0</xdr:rowOff>
    </xdr:from>
    <xdr:to>
      <xdr:col>4</xdr:col>
      <xdr:colOff>295275</xdr:colOff>
      <xdr:row>8</xdr:row>
      <xdr:rowOff>323850</xdr:rowOff>
    </xdr:to>
    <xdr:sp>
      <xdr:nvSpPr>
        <xdr:cNvPr id="12" name="Rectangle 26"/>
        <xdr:cNvSpPr>
          <a:spLocks/>
        </xdr:cNvSpPr>
      </xdr:nvSpPr>
      <xdr:spPr>
        <a:xfrm>
          <a:off x="5086350" y="2228850"/>
          <a:ext cx="47625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               </a:t>
          </a:r>
        </a:p>
      </xdr:txBody>
    </xdr:sp>
    <xdr:clientData/>
  </xdr:twoCellAnchor>
  <xdr:twoCellAnchor>
    <xdr:from>
      <xdr:col>1</xdr:col>
      <xdr:colOff>2066925</xdr:colOff>
      <xdr:row>5</xdr:row>
      <xdr:rowOff>0</xdr:rowOff>
    </xdr:from>
    <xdr:to>
      <xdr:col>3</xdr:col>
      <xdr:colOff>409575</xdr:colOff>
      <xdr:row>5</xdr:row>
      <xdr:rowOff>323850</xdr:rowOff>
    </xdr:to>
    <xdr:sp>
      <xdr:nvSpPr>
        <xdr:cNvPr id="13" name="Rectangle 27"/>
        <xdr:cNvSpPr>
          <a:spLocks/>
        </xdr:cNvSpPr>
      </xdr:nvSpPr>
      <xdr:spPr>
        <a:xfrm>
          <a:off x="2981325" y="1228725"/>
          <a:ext cx="208597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Yanıcı Olmayan                                                  </a:t>
          </a:r>
        </a:p>
      </xdr:txBody>
    </xdr:sp>
    <xdr:clientData/>
  </xdr:twoCellAnchor>
  <xdr:twoCellAnchor>
    <xdr:from>
      <xdr:col>1</xdr:col>
      <xdr:colOff>2066925</xdr:colOff>
      <xdr:row>6</xdr:row>
      <xdr:rowOff>0</xdr:rowOff>
    </xdr:from>
    <xdr:to>
      <xdr:col>3</xdr:col>
      <xdr:colOff>409575</xdr:colOff>
      <xdr:row>6</xdr:row>
      <xdr:rowOff>323850</xdr:rowOff>
    </xdr:to>
    <xdr:sp>
      <xdr:nvSpPr>
        <xdr:cNvPr id="14" name="Rectangle 28"/>
        <xdr:cNvSpPr>
          <a:spLocks/>
        </xdr:cNvSpPr>
      </xdr:nvSpPr>
      <xdr:spPr>
        <a:xfrm>
          <a:off x="2981325" y="1562100"/>
          <a:ext cx="208597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Yanıcı                                                                    </a:t>
          </a:r>
        </a:p>
      </xdr:txBody>
    </xdr:sp>
    <xdr:clientData/>
  </xdr:twoCellAnchor>
  <xdr:twoCellAnchor>
    <xdr:from>
      <xdr:col>1</xdr:col>
      <xdr:colOff>2066925</xdr:colOff>
      <xdr:row>7</xdr:row>
      <xdr:rowOff>0</xdr:rowOff>
    </xdr:from>
    <xdr:to>
      <xdr:col>3</xdr:col>
      <xdr:colOff>409575</xdr:colOff>
      <xdr:row>7</xdr:row>
      <xdr:rowOff>323850</xdr:rowOff>
    </xdr:to>
    <xdr:sp>
      <xdr:nvSpPr>
        <xdr:cNvPr id="15" name="Rectangle 29"/>
        <xdr:cNvSpPr>
          <a:spLocks/>
        </xdr:cNvSpPr>
      </xdr:nvSpPr>
      <xdr:spPr>
        <a:xfrm>
          <a:off x="2981325" y="1895475"/>
          <a:ext cx="208597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Alev Alıcı                                                                 </a:t>
          </a:r>
        </a:p>
      </xdr:txBody>
    </xdr:sp>
    <xdr:clientData/>
  </xdr:twoCellAnchor>
  <xdr:twoCellAnchor>
    <xdr:from>
      <xdr:col>1</xdr:col>
      <xdr:colOff>2066925</xdr:colOff>
      <xdr:row>8</xdr:row>
      <xdr:rowOff>0</xdr:rowOff>
    </xdr:from>
    <xdr:to>
      <xdr:col>3</xdr:col>
      <xdr:colOff>409575</xdr:colOff>
      <xdr:row>8</xdr:row>
      <xdr:rowOff>323850</xdr:rowOff>
    </xdr:to>
    <xdr:sp>
      <xdr:nvSpPr>
        <xdr:cNvPr id="16" name="Rectangle 30"/>
        <xdr:cNvSpPr>
          <a:spLocks/>
        </xdr:cNvSpPr>
      </xdr:nvSpPr>
      <xdr:spPr>
        <a:xfrm>
          <a:off x="2981325" y="2228850"/>
          <a:ext cx="208597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Parlayıcı  /  Patlayıcı                 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857250" y="1247775"/>
          <a:ext cx="4686300" cy="111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9</xdr:row>
      <xdr:rowOff>95250</xdr:rowOff>
    </xdr:from>
    <xdr:to>
      <xdr:col>6</xdr:col>
      <xdr:colOff>219075</xdr:colOff>
      <xdr:row>13</xdr:row>
      <xdr:rowOff>0</xdr:rowOff>
    </xdr:to>
    <xdr:sp macro="[0]!fakc5">
      <xdr:nvSpPr>
        <xdr:cNvPr id="2" name="AutoShape 10"/>
        <xdr:cNvSpPr>
          <a:spLocks/>
        </xdr:cNvSpPr>
      </xdr:nvSpPr>
      <xdr:spPr>
        <a:xfrm>
          <a:off x="6029325" y="2619375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</xdr:row>
      <xdr:rowOff>95250</xdr:rowOff>
    </xdr:from>
    <xdr:to>
      <xdr:col>5</xdr:col>
      <xdr:colOff>190500</xdr:colOff>
      <xdr:row>13</xdr:row>
      <xdr:rowOff>0</xdr:rowOff>
    </xdr:to>
    <xdr:sp macro="[0]!fakc3">
      <xdr:nvSpPr>
        <xdr:cNvPr id="3" name="AutoShape 11"/>
        <xdr:cNvSpPr>
          <a:spLocks/>
        </xdr:cNvSpPr>
      </xdr:nvSpPr>
      <xdr:spPr>
        <a:xfrm flipH="1">
          <a:off x="5391150" y="2619375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342900</xdr:rowOff>
    </xdr:from>
    <xdr:to>
      <xdr:col>3</xdr:col>
      <xdr:colOff>476250</xdr:colOff>
      <xdr:row>6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857250" y="1238250"/>
          <a:ext cx="3943350" cy="381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İnsansız Bina  </a:t>
          </a:r>
        </a:p>
      </xdr:txBody>
    </xdr:sp>
    <xdr:clientData/>
  </xdr:twoCellAnchor>
  <xdr:twoCellAnchor>
    <xdr:from>
      <xdr:col>1</xdr:col>
      <xdr:colOff>0</xdr:colOff>
      <xdr:row>5</xdr:row>
      <xdr:rowOff>361950</xdr:rowOff>
    </xdr:from>
    <xdr:to>
      <xdr:col>3</xdr:col>
      <xdr:colOff>476250</xdr:colOff>
      <xdr:row>7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857250" y="1609725"/>
          <a:ext cx="3943350" cy="381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Normal Kalabalıkta Normal Bina   </a:t>
          </a:r>
        </a:p>
      </xdr:txBody>
    </xdr:sp>
    <xdr:clientData/>
  </xdr:twoCellAnchor>
  <xdr:twoCellAnchor>
    <xdr:from>
      <xdr:col>1</xdr:col>
      <xdr:colOff>0</xdr:colOff>
      <xdr:row>6</xdr:row>
      <xdr:rowOff>352425</xdr:rowOff>
    </xdr:from>
    <xdr:to>
      <xdr:col>3</xdr:col>
      <xdr:colOff>476250</xdr:colOff>
      <xdr:row>7</xdr:row>
      <xdr:rowOff>361950</xdr:rowOff>
    </xdr:to>
    <xdr:sp>
      <xdr:nvSpPr>
        <xdr:cNvPr id="6" name="Rectangle 16"/>
        <xdr:cNvSpPr>
          <a:spLocks/>
        </xdr:cNvSpPr>
      </xdr:nvSpPr>
      <xdr:spPr>
        <a:xfrm>
          <a:off x="857250" y="1971675"/>
          <a:ext cx="3943350" cy="381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Panik Rizikolu ve TahliyeZorluğu olan binalar  </a:t>
          </a:r>
        </a:p>
      </xdr:txBody>
    </xdr:sp>
    <xdr:clientData/>
  </xdr:twoCellAnchor>
  <xdr:twoCellAnchor>
    <xdr:from>
      <xdr:col>1</xdr:col>
      <xdr:colOff>600075</xdr:colOff>
      <xdr:row>10</xdr:row>
      <xdr:rowOff>123825</xdr:rowOff>
    </xdr:from>
    <xdr:to>
      <xdr:col>1</xdr:col>
      <xdr:colOff>885825</xdr:colOff>
      <xdr:row>12</xdr:row>
      <xdr:rowOff>85725</xdr:rowOff>
    </xdr:to>
    <xdr:sp macro="[0]!ekran2">
      <xdr:nvSpPr>
        <xdr:cNvPr id="7" name="Oval 17"/>
        <xdr:cNvSpPr>
          <a:spLocks/>
        </xdr:cNvSpPr>
      </xdr:nvSpPr>
      <xdr:spPr>
        <a:xfrm flipV="1">
          <a:off x="1457325" y="2809875"/>
          <a:ext cx="285750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342900</xdr:rowOff>
    </xdr:from>
    <xdr:to>
      <xdr:col>4</xdr:col>
      <xdr:colOff>342900</xdr:colOff>
      <xdr:row>6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4800600" y="1238250"/>
          <a:ext cx="476250" cy="381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0,50</a:t>
          </a:r>
        </a:p>
      </xdr:txBody>
    </xdr:sp>
    <xdr:clientData/>
  </xdr:twoCellAnchor>
  <xdr:twoCellAnchor>
    <xdr:from>
      <xdr:col>3</xdr:col>
      <xdr:colOff>476250</xdr:colOff>
      <xdr:row>5</xdr:row>
      <xdr:rowOff>361950</xdr:rowOff>
    </xdr:from>
    <xdr:to>
      <xdr:col>4</xdr:col>
      <xdr:colOff>342900</xdr:colOff>
      <xdr:row>7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4800600" y="1609725"/>
          <a:ext cx="476250" cy="381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476250</xdr:colOff>
      <xdr:row>6</xdr:row>
      <xdr:rowOff>352425</xdr:rowOff>
    </xdr:from>
    <xdr:to>
      <xdr:col>4</xdr:col>
      <xdr:colOff>342900</xdr:colOff>
      <xdr:row>7</xdr:row>
      <xdr:rowOff>361950</xdr:rowOff>
    </xdr:to>
    <xdr:sp>
      <xdr:nvSpPr>
        <xdr:cNvPr id="10" name="Rectangle 20"/>
        <xdr:cNvSpPr>
          <a:spLocks/>
        </xdr:cNvSpPr>
      </xdr:nvSpPr>
      <xdr:spPr>
        <a:xfrm>
          <a:off x="4800600" y="1971675"/>
          <a:ext cx="476250" cy="3810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" name="Rectangle 6"/>
        <xdr:cNvSpPr>
          <a:spLocks/>
        </xdr:cNvSpPr>
      </xdr:nvSpPr>
      <xdr:spPr>
        <a:xfrm>
          <a:off x="1047750" y="1228725"/>
          <a:ext cx="4572000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104775</xdr:rowOff>
    </xdr:from>
    <xdr:to>
      <xdr:col>6</xdr:col>
      <xdr:colOff>152400</xdr:colOff>
      <xdr:row>13</xdr:row>
      <xdr:rowOff>9525</xdr:rowOff>
    </xdr:to>
    <xdr:sp macro="[0]!METOD">
      <xdr:nvSpPr>
        <xdr:cNvPr id="2" name="AutoShape 9"/>
        <xdr:cNvSpPr>
          <a:spLocks/>
        </xdr:cNvSpPr>
      </xdr:nvSpPr>
      <xdr:spPr>
        <a:xfrm>
          <a:off x="6038850" y="2657475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9</xdr:row>
      <xdr:rowOff>104775</xdr:rowOff>
    </xdr:from>
    <xdr:to>
      <xdr:col>5</xdr:col>
      <xdr:colOff>123825</xdr:colOff>
      <xdr:row>13</xdr:row>
      <xdr:rowOff>9525</xdr:rowOff>
    </xdr:to>
    <xdr:sp macro="[0]!fakc4">
      <xdr:nvSpPr>
        <xdr:cNvPr id="3" name="AutoShape 10"/>
        <xdr:cNvSpPr>
          <a:spLocks/>
        </xdr:cNvSpPr>
      </xdr:nvSpPr>
      <xdr:spPr>
        <a:xfrm flipH="1">
          <a:off x="5400675" y="2657475"/>
          <a:ext cx="342900" cy="552450"/>
        </a:xfrm>
        <a:prstGeom prst="rightArrow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495300</xdr:colOff>
      <xdr:row>5</xdr:row>
      <xdr:rowOff>323850</xdr:rowOff>
    </xdr:to>
    <xdr:sp>
      <xdr:nvSpPr>
        <xdr:cNvPr id="4" name="Rectangle 13"/>
        <xdr:cNvSpPr>
          <a:spLocks/>
        </xdr:cNvSpPr>
      </xdr:nvSpPr>
      <xdr:spPr>
        <a:xfrm>
          <a:off x="1057275" y="1228725"/>
          <a:ext cx="389572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Sürekli Kullanım Yok. Çevrede Önemsiz                             </a:t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495300</xdr:colOff>
      <xdr:row>6</xdr:row>
      <xdr:rowOff>323850</xdr:rowOff>
    </xdr:to>
    <xdr:sp>
      <xdr:nvSpPr>
        <xdr:cNvPr id="5" name="Rectangle 14"/>
        <xdr:cNvSpPr>
          <a:spLocks/>
        </xdr:cNvSpPr>
      </xdr:nvSpPr>
      <xdr:spPr>
        <a:xfrm>
          <a:off x="1057275" y="1562100"/>
          <a:ext cx="389572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Sürekli Kullanım Çevrede Önemsiz                                         5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495300</xdr:colOff>
      <xdr:row>7</xdr:row>
      <xdr:rowOff>323850</xdr:rowOff>
    </xdr:to>
    <xdr:sp>
      <xdr:nvSpPr>
        <xdr:cNvPr id="6" name="Rectangle 15"/>
        <xdr:cNvSpPr>
          <a:spLocks/>
        </xdr:cNvSpPr>
      </xdr:nvSpPr>
      <xdr:spPr>
        <a:xfrm>
          <a:off x="1057275" y="1895475"/>
          <a:ext cx="389572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Çevrede Önemli </a:t>
          </a:r>
        </a:p>
      </xdr:txBody>
    </xdr:sp>
    <xdr:clientData/>
  </xdr:twoCellAnchor>
  <xdr:twoCellAnchor>
    <xdr:from>
      <xdr:col>1</xdr:col>
      <xdr:colOff>533400</xdr:colOff>
      <xdr:row>10</xdr:row>
      <xdr:rowOff>19050</xdr:rowOff>
    </xdr:from>
    <xdr:to>
      <xdr:col>1</xdr:col>
      <xdr:colOff>819150</xdr:colOff>
      <xdr:row>11</xdr:row>
      <xdr:rowOff>142875</xdr:rowOff>
    </xdr:to>
    <xdr:sp macro="[0]!ekran2">
      <xdr:nvSpPr>
        <xdr:cNvPr id="7" name="Oval 18"/>
        <xdr:cNvSpPr>
          <a:spLocks/>
        </xdr:cNvSpPr>
      </xdr:nvSpPr>
      <xdr:spPr>
        <a:xfrm flipV="1">
          <a:off x="1581150" y="2733675"/>
          <a:ext cx="285750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0</xdr:rowOff>
    </xdr:from>
    <xdr:to>
      <xdr:col>4</xdr:col>
      <xdr:colOff>266700</xdr:colOff>
      <xdr:row>5</xdr:row>
      <xdr:rowOff>323850</xdr:rowOff>
    </xdr:to>
    <xdr:sp>
      <xdr:nvSpPr>
        <xdr:cNvPr id="8" name="Rectangle 19"/>
        <xdr:cNvSpPr>
          <a:spLocks/>
        </xdr:cNvSpPr>
      </xdr:nvSpPr>
      <xdr:spPr>
        <a:xfrm>
          <a:off x="4953000" y="1228725"/>
          <a:ext cx="3810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495300</xdr:colOff>
      <xdr:row>6</xdr:row>
      <xdr:rowOff>0</xdr:rowOff>
    </xdr:from>
    <xdr:to>
      <xdr:col>4</xdr:col>
      <xdr:colOff>266700</xdr:colOff>
      <xdr:row>6</xdr:row>
      <xdr:rowOff>323850</xdr:rowOff>
    </xdr:to>
    <xdr:sp>
      <xdr:nvSpPr>
        <xdr:cNvPr id="9" name="Rectangle 20"/>
        <xdr:cNvSpPr>
          <a:spLocks/>
        </xdr:cNvSpPr>
      </xdr:nvSpPr>
      <xdr:spPr>
        <a:xfrm>
          <a:off x="4953000" y="1562100"/>
          <a:ext cx="3810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495300</xdr:colOff>
      <xdr:row>7</xdr:row>
      <xdr:rowOff>0</xdr:rowOff>
    </xdr:from>
    <xdr:to>
      <xdr:col>4</xdr:col>
      <xdr:colOff>266700</xdr:colOff>
      <xdr:row>7</xdr:row>
      <xdr:rowOff>323850</xdr:rowOff>
    </xdr:to>
    <xdr:sp>
      <xdr:nvSpPr>
        <xdr:cNvPr id="10" name="Rectangle 21"/>
        <xdr:cNvSpPr>
          <a:spLocks/>
        </xdr:cNvSpPr>
      </xdr:nvSpPr>
      <xdr:spPr>
        <a:xfrm>
          <a:off x="4953000" y="1895475"/>
          <a:ext cx="381000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495300</xdr:colOff>
      <xdr:row>6</xdr:row>
      <xdr:rowOff>323850</xdr:rowOff>
    </xdr:to>
    <xdr:sp>
      <xdr:nvSpPr>
        <xdr:cNvPr id="11" name="Rectangle 22"/>
        <xdr:cNvSpPr>
          <a:spLocks/>
        </xdr:cNvSpPr>
      </xdr:nvSpPr>
      <xdr:spPr>
        <a:xfrm>
          <a:off x="1057275" y="1562100"/>
          <a:ext cx="3895725" cy="3238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Sürekli Kullanım Çevrede Önemsiz                     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25</xdr:row>
      <xdr:rowOff>9525</xdr:rowOff>
    </xdr:from>
    <xdr:to>
      <xdr:col>8</xdr:col>
      <xdr:colOff>295275</xdr:colOff>
      <xdr:row>26</xdr:row>
      <xdr:rowOff>123825</xdr:rowOff>
    </xdr:to>
    <xdr:sp macro="[0]!EKRAN3">
      <xdr:nvSpPr>
        <xdr:cNvPr id="1" name="Oval 4"/>
        <xdr:cNvSpPr>
          <a:spLocks/>
        </xdr:cNvSpPr>
      </xdr:nvSpPr>
      <xdr:spPr>
        <a:xfrm flipV="1">
          <a:off x="7496175" y="4114800"/>
          <a:ext cx="285750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66675</xdr:rowOff>
    </xdr:from>
    <xdr:to>
      <xdr:col>15</xdr:col>
      <xdr:colOff>342900</xdr:colOff>
      <xdr:row>6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7724775" y="781050"/>
          <a:ext cx="1905000" cy="342900"/>
          <a:chOff x="21" y="347"/>
          <a:chExt cx="192" cy="34"/>
        </a:xfrm>
        <a:solidFill>
          <a:srgbClr val="FFFFFF"/>
        </a:solidFill>
      </xdr:grpSpPr>
      <xdr:pic macro="[0]!YAZDIR"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" y="347"/>
            <a:ext cx="192" cy="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6"/>
          <xdr:cNvSpPr>
            <a:spLocks/>
          </xdr:cNvSpPr>
        </xdr:nvSpPr>
        <xdr:spPr>
          <a:xfrm>
            <a:off x="49" y="351"/>
            <a:ext cx="12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YAZDIR</a:t>
            </a:r>
          </a:p>
        </xdr:txBody>
      </xdr:sp>
    </xdr:grpSp>
    <xdr:clientData/>
  </xdr:twoCellAnchor>
  <xdr:twoCellAnchor>
    <xdr:from>
      <xdr:col>0</xdr:col>
      <xdr:colOff>57150</xdr:colOff>
      <xdr:row>1</xdr:row>
      <xdr:rowOff>180975</xdr:rowOff>
    </xdr:from>
    <xdr:to>
      <xdr:col>1</xdr:col>
      <xdr:colOff>76200</xdr:colOff>
      <xdr:row>6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57150" y="352425"/>
          <a:ext cx="1066800" cy="762000"/>
        </a:xfrm>
        <a:prstGeom prst="rightArrow">
          <a:avLst/>
        </a:prstGeom>
        <a:solidFill>
          <a:srgbClr val="FF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TESİS VEYA ALAN ADI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9</xdr:col>
      <xdr:colOff>600075</xdr:colOff>
      <xdr:row>13</xdr:row>
      <xdr:rowOff>19050</xdr:rowOff>
    </xdr:to>
    <xdr:sp>
      <xdr:nvSpPr>
        <xdr:cNvPr id="1" name="Line 111"/>
        <xdr:cNvSpPr>
          <a:spLocks/>
        </xdr:cNvSpPr>
      </xdr:nvSpPr>
      <xdr:spPr>
        <a:xfrm flipH="1">
          <a:off x="4876800" y="1323975"/>
          <a:ext cx="1209675" cy="828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95250</xdr:rowOff>
    </xdr:from>
    <xdr:to>
      <xdr:col>10</xdr:col>
      <xdr:colOff>0</xdr:colOff>
      <xdr:row>7</xdr:row>
      <xdr:rowOff>28575</xdr:rowOff>
    </xdr:to>
    <xdr:sp>
      <xdr:nvSpPr>
        <xdr:cNvPr id="2" name="Line 112"/>
        <xdr:cNvSpPr>
          <a:spLocks/>
        </xdr:cNvSpPr>
      </xdr:nvSpPr>
      <xdr:spPr>
        <a:xfrm>
          <a:off x="4895850" y="904875"/>
          <a:ext cx="120015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9</xdr:row>
      <xdr:rowOff>95250</xdr:rowOff>
    </xdr:to>
    <xdr:sp>
      <xdr:nvSpPr>
        <xdr:cNvPr id="3" name="Line 113"/>
        <xdr:cNvSpPr>
          <a:spLocks/>
        </xdr:cNvSpPr>
      </xdr:nvSpPr>
      <xdr:spPr>
        <a:xfrm flipV="1">
          <a:off x="4886325" y="1247775"/>
          <a:ext cx="1209675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7</xdr:col>
      <xdr:colOff>276225</xdr:colOff>
      <xdr:row>11</xdr:row>
      <xdr:rowOff>9525</xdr:rowOff>
    </xdr:to>
    <xdr:sp>
      <xdr:nvSpPr>
        <xdr:cNvPr id="4" name="Line 115"/>
        <xdr:cNvSpPr>
          <a:spLocks/>
        </xdr:cNvSpPr>
      </xdr:nvSpPr>
      <xdr:spPr>
        <a:xfrm flipV="1">
          <a:off x="4543425" y="1638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9525</xdr:colOff>
      <xdr:row>10</xdr:row>
      <xdr:rowOff>28575</xdr:rowOff>
    </xdr:to>
    <xdr:sp>
      <xdr:nvSpPr>
        <xdr:cNvPr id="5" name="Line 119"/>
        <xdr:cNvSpPr>
          <a:spLocks/>
        </xdr:cNvSpPr>
      </xdr:nvSpPr>
      <xdr:spPr>
        <a:xfrm flipH="1" flipV="1">
          <a:off x="4876800" y="971550"/>
          <a:ext cx="12287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</xdr:row>
      <xdr:rowOff>0</xdr:rowOff>
    </xdr:from>
    <xdr:to>
      <xdr:col>7</xdr:col>
      <xdr:colOff>295275</xdr:colOff>
      <xdr:row>7</xdr:row>
      <xdr:rowOff>0</xdr:rowOff>
    </xdr:to>
    <xdr:sp>
      <xdr:nvSpPr>
        <xdr:cNvPr id="6" name="Line 120"/>
        <xdr:cNvSpPr>
          <a:spLocks/>
        </xdr:cNvSpPr>
      </xdr:nvSpPr>
      <xdr:spPr>
        <a:xfrm flipV="1">
          <a:off x="4562475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</xdr:row>
      <xdr:rowOff>152400</xdr:rowOff>
    </xdr:from>
    <xdr:to>
      <xdr:col>7</xdr:col>
      <xdr:colOff>314325</xdr:colOff>
      <xdr:row>5</xdr:row>
      <xdr:rowOff>0</xdr:rowOff>
    </xdr:to>
    <xdr:sp>
      <xdr:nvSpPr>
        <xdr:cNvPr id="7" name="Line 121"/>
        <xdr:cNvSpPr>
          <a:spLocks/>
        </xdr:cNvSpPr>
      </xdr:nvSpPr>
      <xdr:spPr>
        <a:xfrm>
          <a:off x="4581525" y="638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76200</xdr:rowOff>
    </xdr:from>
    <xdr:to>
      <xdr:col>10</xdr:col>
      <xdr:colOff>0</xdr:colOff>
      <xdr:row>5</xdr:row>
      <xdr:rowOff>76200</xdr:rowOff>
    </xdr:to>
    <xdr:sp>
      <xdr:nvSpPr>
        <xdr:cNvPr id="8" name="Line 128"/>
        <xdr:cNvSpPr>
          <a:spLocks/>
        </xdr:cNvSpPr>
      </xdr:nvSpPr>
      <xdr:spPr>
        <a:xfrm flipH="1" flipV="1">
          <a:off x="4886325" y="561975"/>
          <a:ext cx="1209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85725</xdr:rowOff>
    </xdr:from>
    <xdr:to>
      <xdr:col>10</xdr:col>
      <xdr:colOff>0</xdr:colOff>
      <xdr:row>4</xdr:row>
      <xdr:rowOff>85725</xdr:rowOff>
    </xdr:to>
    <xdr:sp>
      <xdr:nvSpPr>
        <xdr:cNvPr id="9" name="Line 129"/>
        <xdr:cNvSpPr>
          <a:spLocks/>
        </xdr:cNvSpPr>
      </xdr:nvSpPr>
      <xdr:spPr>
        <a:xfrm flipH="1" flipV="1">
          <a:off x="4933950" y="571500"/>
          <a:ext cx="1162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85725</xdr:rowOff>
    </xdr:from>
    <xdr:to>
      <xdr:col>10</xdr:col>
      <xdr:colOff>9525</xdr:colOff>
      <xdr:row>6</xdr:row>
      <xdr:rowOff>104775</xdr:rowOff>
    </xdr:to>
    <xdr:sp>
      <xdr:nvSpPr>
        <xdr:cNvPr id="10" name="Line 130"/>
        <xdr:cNvSpPr>
          <a:spLocks/>
        </xdr:cNvSpPr>
      </xdr:nvSpPr>
      <xdr:spPr>
        <a:xfrm flipH="1" flipV="1">
          <a:off x="4924425" y="571500"/>
          <a:ext cx="1181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7</xdr:col>
      <xdr:colOff>19050</xdr:colOff>
      <xdr:row>19</xdr:row>
      <xdr:rowOff>85725</xdr:rowOff>
    </xdr:to>
    <xdr:sp>
      <xdr:nvSpPr>
        <xdr:cNvPr id="11" name="Line 131"/>
        <xdr:cNvSpPr>
          <a:spLocks/>
        </xdr:cNvSpPr>
      </xdr:nvSpPr>
      <xdr:spPr>
        <a:xfrm flipV="1">
          <a:off x="3048000" y="647700"/>
          <a:ext cx="123825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7</xdr:col>
      <xdr:colOff>19050</xdr:colOff>
      <xdr:row>21</xdr:row>
      <xdr:rowOff>95250</xdr:rowOff>
    </xdr:to>
    <xdr:sp>
      <xdr:nvSpPr>
        <xdr:cNvPr id="12" name="Line 132"/>
        <xdr:cNvSpPr>
          <a:spLocks/>
        </xdr:cNvSpPr>
      </xdr:nvSpPr>
      <xdr:spPr>
        <a:xfrm flipV="1">
          <a:off x="3048000" y="666750"/>
          <a:ext cx="12382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66675</xdr:rowOff>
    </xdr:from>
    <xdr:to>
      <xdr:col>9</xdr:col>
      <xdr:colOff>600075</xdr:colOff>
      <xdr:row>12</xdr:row>
      <xdr:rowOff>95250</xdr:rowOff>
    </xdr:to>
    <xdr:sp>
      <xdr:nvSpPr>
        <xdr:cNvPr id="13" name="Line 137"/>
        <xdr:cNvSpPr>
          <a:spLocks/>
        </xdr:cNvSpPr>
      </xdr:nvSpPr>
      <xdr:spPr>
        <a:xfrm flipH="1" flipV="1">
          <a:off x="4876800" y="1866900"/>
          <a:ext cx="1209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76200</xdr:rowOff>
    </xdr:from>
    <xdr:to>
      <xdr:col>10</xdr:col>
      <xdr:colOff>0</xdr:colOff>
      <xdr:row>14</xdr:row>
      <xdr:rowOff>85725</xdr:rowOff>
    </xdr:to>
    <xdr:sp>
      <xdr:nvSpPr>
        <xdr:cNvPr id="14" name="Line 138"/>
        <xdr:cNvSpPr>
          <a:spLocks/>
        </xdr:cNvSpPr>
      </xdr:nvSpPr>
      <xdr:spPr>
        <a:xfrm flipH="1" flipV="1">
          <a:off x="4953000" y="1876425"/>
          <a:ext cx="1143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76200</xdr:rowOff>
    </xdr:from>
    <xdr:to>
      <xdr:col>9</xdr:col>
      <xdr:colOff>600075</xdr:colOff>
      <xdr:row>16</xdr:row>
      <xdr:rowOff>104775</xdr:rowOff>
    </xdr:to>
    <xdr:sp>
      <xdr:nvSpPr>
        <xdr:cNvPr id="15" name="Line 139"/>
        <xdr:cNvSpPr>
          <a:spLocks/>
        </xdr:cNvSpPr>
      </xdr:nvSpPr>
      <xdr:spPr>
        <a:xfrm flipH="1" flipV="1">
          <a:off x="4914900" y="1876425"/>
          <a:ext cx="1171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66675</xdr:rowOff>
    </xdr:from>
    <xdr:to>
      <xdr:col>10</xdr:col>
      <xdr:colOff>0</xdr:colOff>
      <xdr:row>18</xdr:row>
      <xdr:rowOff>104775</xdr:rowOff>
    </xdr:to>
    <xdr:sp>
      <xdr:nvSpPr>
        <xdr:cNvPr id="16" name="Line 140"/>
        <xdr:cNvSpPr>
          <a:spLocks/>
        </xdr:cNvSpPr>
      </xdr:nvSpPr>
      <xdr:spPr>
        <a:xfrm flipH="1" flipV="1">
          <a:off x="4886325" y="1866900"/>
          <a:ext cx="1209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142875</xdr:rowOff>
    </xdr:from>
    <xdr:to>
      <xdr:col>10</xdr:col>
      <xdr:colOff>0</xdr:colOff>
      <xdr:row>15</xdr:row>
      <xdr:rowOff>57150</xdr:rowOff>
    </xdr:to>
    <xdr:sp>
      <xdr:nvSpPr>
        <xdr:cNvPr id="17" name="Line 150"/>
        <xdr:cNvSpPr>
          <a:spLocks/>
        </xdr:cNvSpPr>
      </xdr:nvSpPr>
      <xdr:spPr>
        <a:xfrm flipV="1">
          <a:off x="3048000" y="952500"/>
          <a:ext cx="3048000" cy="15716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104775</xdr:rowOff>
    </xdr:from>
    <xdr:to>
      <xdr:col>10</xdr:col>
      <xdr:colOff>9525</xdr:colOff>
      <xdr:row>17</xdr:row>
      <xdr:rowOff>104775</xdr:rowOff>
    </xdr:to>
    <xdr:sp>
      <xdr:nvSpPr>
        <xdr:cNvPr id="18" name="Line 151"/>
        <xdr:cNvSpPr>
          <a:spLocks/>
        </xdr:cNvSpPr>
      </xdr:nvSpPr>
      <xdr:spPr>
        <a:xfrm flipV="1">
          <a:off x="3038475" y="914400"/>
          <a:ext cx="3067050" cy="1981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47625</xdr:rowOff>
    </xdr:from>
    <xdr:to>
      <xdr:col>10</xdr:col>
      <xdr:colOff>419100</xdr:colOff>
      <xdr:row>19</xdr:row>
      <xdr:rowOff>142875</xdr:rowOff>
    </xdr:to>
    <xdr:sp>
      <xdr:nvSpPr>
        <xdr:cNvPr id="19" name="Line 153"/>
        <xdr:cNvSpPr>
          <a:spLocks/>
        </xdr:cNvSpPr>
      </xdr:nvSpPr>
      <xdr:spPr>
        <a:xfrm flipV="1">
          <a:off x="3038475" y="1019175"/>
          <a:ext cx="3476625" cy="22383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114300</xdr:rowOff>
    </xdr:from>
    <xdr:to>
      <xdr:col>10</xdr:col>
      <xdr:colOff>0</xdr:colOff>
      <xdr:row>17</xdr:row>
      <xdr:rowOff>76200</xdr:rowOff>
    </xdr:to>
    <xdr:sp>
      <xdr:nvSpPr>
        <xdr:cNvPr id="20" name="Line 155"/>
        <xdr:cNvSpPr>
          <a:spLocks/>
        </xdr:cNvSpPr>
      </xdr:nvSpPr>
      <xdr:spPr>
        <a:xfrm flipV="1">
          <a:off x="3057525" y="762000"/>
          <a:ext cx="3038475" cy="2105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114300</xdr:rowOff>
    </xdr:from>
    <xdr:to>
      <xdr:col>10</xdr:col>
      <xdr:colOff>9525</xdr:colOff>
      <xdr:row>15</xdr:row>
      <xdr:rowOff>57150</xdr:rowOff>
    </xdr:to>
    <xdr:sp>
      <xdr:nvSpPr>
        <xdr:cNvPr id="21" name="Line 156"/>
        <xdr:cNvSpPr>
          <a:spLocks/>
        </xdr:cNvSpPr>
      </xdr:nvSpPr>
      <xdr:spPr>
        <a:xfrm flipV="1">
          <a:off x="3057525" y="762000"/>
          <a:ext cx="3048000" cy="176212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8"/>
  <dimension ref="A1:W63"/>
  <sheetViews>
    <sheetView showGridLines="0" showRowColHeaders="0" tabSelected="1" zoomScale="84" zoomScaleNormal="84" workbookViewId="0" topLeftCell="A1">
      <selection activeCell="G2" sqref="G2"/>
    </sheetView>
  </sheetViews>
  <sheetFormatPr defaultColWidth="9.140625" defaultRowHeight="12.75"/>
  <cols>
    <col min="1" max="1" width="4.7109375" style="32" customWidth="1"/>
    <col min="2" max="2" width="6.421875" style="32" customWidth="1"/>
    <col min="3" max="3" width="19.28125" style="32" customWidth="1"/>
    <col min="4" max="4" width="3.7109375" style="32" customWidth="1"/>
    <col min="5" max="5" width="15.7109375" style="32" customWidth="1"/>
    <col min="6" max="6" width="18.7109375" style="32" customWidth="1"/>
    <col min="7" max="7" width="30.7109375" style="32" customWidth="1"/>
    <col min="8" max="8" width="18.7109375" style="32" customWidth="1"/>
    <col min="9" max="9" width="9.140625" style="32" customWidth="1"/>
    <col min="10" max="13" width="3.7109375" style="32" customWidth="1"/>
    <col min="14" max="16384" width="9.140625" style="32" customWidth="1"/>
  </cols>
  <sheetData>
    <row r="1" spans="1:23" ht="21">
      <c r="A1" s="261"/>
      <c r="B1" s="261"/>
      <c r="C1" s="261"/>
      <c r="D1" s="261"/>
      <c r="E1" s="297"/>
      <c r="F1" s="373"/>
      <c r="G1" s="374"/>
      <c r="H1" s="375"/>
      <c r="I1" s="297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</row>
    <row r="2" spans="1:23" ht="49.5" customHeight="1">
      <c r="A2" s="261"/>
      <c r="B2" s="261"/>
      <c r="C2" s="261"/>
      <c r="D2" s="261"/>
      <c r="E2" s="297"/>
      <c r="F2" s="298"/>
      <c r="G2" s="297"/>
      <c r="H2" s="299"/>
      <c r="I2" s="297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3.5" thickBot="1">
      <c r="A3" s="261"/>
      <c r="B3" s="261"/>
      <c r="C3" s="261"/>
      <c r="D3" s="261"/>
      <c r="E3" s="297"/>
      <c r="F3" s="298"/>
      <c r="G3" s="297"/>
      <c r="H3" s="300"/>
      <c r="I3" s="297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</row>
    <row r="4" spans="1:23" ht="24.75" customHeight="1" thickBot="1">
      <c r="A4" s="261"/>
      <c r="B4" s="261"/>
      <c r="C4" s="261"/>
      <c r="D4" s="261"/>
      <c r="E4" s="297"/>
      <c r="F4" s="298"/>
      <c r="G4" s="297"/>
      <c r="H4" s="368"/>
      <c r="I4" s="297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</row>
    <row r="5" spans="1:23" ht="24.75" customHeight="1" thickBot="1">
      <c r="A5" s="261"/>
      <c r="B5" s="261"/>
      <c r="C5" s="261"/>
      <c r="D5" s="261"/>
      <c r="E5" s="297"/>
      <c r="F5" s="298"/>
      <c r="G5" s="297"/>
      <c r="H5" s="328"/>
      <c r="I5" s="307"/>
      <c r="J5" s="307"/>
      <c r="K5" s="308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</row>
    <row r="6" spans="1:23" ht="24.75" customHeight="1" thickBot="1">
      <c r="A6" s="261"/>
      <c r="B6" s="261"/>
      <c r="C6" s="261"/>
      <c r="D6" s="261"/>
      <c r="E6" s="297"/>
      <c r="F6" s="298"/>
      <c r="G6" s="297"/>
      <c r="H6" s="328"/>
      <c r="I6" s="306"/>
      <c r="J6" s="306"/>
      <c r="K6" s="309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</row>
    <row r="7" spans="1:23" ht="24.75" customHeight="1" thickBot="1">
      <c r="A7" s="261"/>
      <c r="B7" s="261"/>
      <c r="C7" s="261"/>
      <c r="D7" s="261"/>
      <c r="E7" s="297"/>
      <c r="F7" s="298"/>
      <c r="G7" s="297"/>
      <c r="H7" s="328"/>
      <c r="I7" s="310"/>
      <c r="J7" s="310"/>
      <c r="K7" s="31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</row>
    <row r="8" spans="1:23" ht="12.75" customHeight="1">
      <c r="A8" s="261"/>
      <c r="B8" s="261"/>
      <c r="C8" s="261"/>
      <c r="D8" s="261"/>
      <c r="E8" s="297"/>
      <c r="F8" s="298"/>
      <c r="G8" s="297"/>
      <c r="H8" s="301"/>
      <c r="I8" s="297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</row>
    <row r="9" spans="1:23" ht="13.5" customHeight="1">
      <c r="A9" s="261"/>
      <c r="B9" s="261"/>
      <c r="C9" s="261"/>
      <c r="D9" s="261"/>
      <c r="E9" s="297"/>
      <c r="F9" s="298"/>
      <c r="G9" s="297"/>
      <c r="H9" s="300"/>
      <c r="I9" s="297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</row>
    <row r="10" spans="1:23" ht="12.75">
      <c r="A10" s="261"/>
      <c r="B10" s="261"/>
      <c r="C10" s="261"/>
      <c r="D10" s="261"/>
      <c r="E10" s="297"/>
      <c r="F10" s="298"/>
      <c r="G10" s="297"/>
      <c r="H10" s="302">
        <f>MAX(H5:H6)</f>
        <v>0</v>
      </c>
      <c r="I10" s="297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</row>
    <row r="11" spans="1:23" ht="12.75">
      <c r="A11" s="261"/>
      <c r="B11" s="261"/>
      <c r="C11" s="261"/>
      <c r="D11" s="261"/>
      <c r="E11" s="297"/>
      <c r="F11" s="298"/>
      <c r="G11" s="297"/>
      <c r="H11" s="300">
        <f>+H5*H6*H7</f>
        <v>0</v>
      </c>
      <c r="I11" s="297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</row>
    <row r="12" spans="1:23" ht="12.75">
      <c r="A12" s="261"/>
      <c r="B12" s="261"/>
      <c r="C12" s="261"/>
      <c r="D12" s="261"/>
      <c r="E12" s="297"/>
      <c r="F12" s="298"/>
      <c r="G12" s="297"/>
      <c r="H12" s="300"/>
      <c r="I12" s="297"/>
      <c r="J12" s="261"/>
      <c r="K12" s="261"/>
      <c r="L12" s="261"/>
      <c r="M12" s="262"/>
      <c r="N12" s="262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23" ht="12.75">
      <c r="A13" s="261"/>
      <c r="B13" s="261"/>
      <c r="C13" s="261"/>
      <c r="D13" s="261"/>
      <c r="E13" s="297"/>
      <c r="F13" s="298"/>
      <c r="G13" s="297"/>
      <c r="H13" s="300"/>
      <c r="I13" s="297"/>
      <c r="J13" s="261"/>
      <c r="K13" s="261"/>
      <c r="L13" s="261"/>
      <c r="M13" s="262"/>
      <c r="N13" s="262"/>
      <c r="O13" s="261"/>
      <c r="P13" s="261"/>
      <c r="Q13" s="261"/>
      <c r="R13" s="261"/>
      <c r="S13" s="261"/>
      <c r="T13" s="261"/>
      <c r="U13" s="261"/>
      <c r="V13" s="261"/>
      <c r="W13" s="261"/>
    </row>
    <row r="14" spans="1:23" ht="4.5" customHeight="1">
      <c r="A14" s="261"/>
      <c r="B14" s="261"/>
      <c r="C14" s="261"/>
      <c r="D14" s="261"/>
      <c r="E14" s="297"/>
      <c r="F14" s="298"/>
      <c r="G14" s="297"/>
      <c r="H14" s="300"/>
      <c r="I14" s="297"/>
      <c r="J14" s="261"/>
      <c r="K14" s="261"/>
      <c r="L14" s="261"/>
      <c r="M14" s="262"/>
      <c r="N14" s="262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1:23" ht="4.5" customHeight="1">
      <c r="A15" s="261"/>
      <c r="B15" s="261"/>
      <c r="C15" s="261"/>
      <c r="D15" s="261"/>
      <c r="E15" s="297"/>
      <c r="F15" s="298"/>
      <c r="G15" s="297"/>
      <c r="H15" s="300"/>
      <c r="I15" s="297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1:23" ht="4.5" customHeight="1">
      <c r="A16" s="261"/>
      <c r="B16" s="261"/>
      <c r="C16" s="261"/>
      <c r="D16" s="261"/>
      <c r="E16" s="297"/>
      <c r="F16" s="298"/>
      <c r="G16" s="297"/>
      <c r="H16" s="300"/>
      <c r="I16" s="297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</row>
    <row r="17" spans="1:23" ht="4.5" customHeight="1">
      <c r="A17" s="261"/>
      <c r="B17" s="261"/>
      <c r="C17" s="261"/>
      <c r="D17" s="261"/>
      <c r="E17" s="297"/>
      <c r="F17" s="298"/>
      <c r="G17" s="297"/>
      <c r="H17" s="300"/>
      <c r="I17" s="297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</row>
    <row r="18" spans="1:23" ht="4.5" customHeight="1">
      <c r="A18" s="261"/>
      <c r="B18" s="261"/>
      <c r="C18" s="261"/>
      <c r="D18" s="261"/>
      <c r="E18" s="297"/>
      <c r="F18" s="298"/>
      <c r="G18" s="297"/>
      <c r="H18" s="300"/>
      <c r="I18" s="297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</row>
    <row r="19" spans="1:23" ht="4.5" customHeight="1">
      <c r="A19" s="261"/>
      <c r="B19" s="261"/>
      <c r="C19" s="261"/>
      <c r="D19" s="261"/>
      <c r="E19" s="297"/>
      <c r="F19" s="298"/>
      <c r="G19" s="297"/>
      <c r="H19" s="300"/>
      <c r="I19" s="297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</row>
    <row r="20" spans="1:23" ht="4.5" customHeight="1">
      <c r="A20" s="261"/>
      <c r="B20" s="261"/>
      <c r="C20" s="261"/>
      <c r="D20" s="261"/>
      <c r="E20" s="297"/>
      <c r="F20" s="298"/>
      <c r="G20" s="297"/>
      <c r="H20" s="300"/>
      <c r="I20" s="297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</row>
    <row r="21" spans="1:23" ht="12.75">
      <c r="A21" s="261"/>
      <c r="B21" s="261"/>
      <c r="C21" s="261"/>
      <c r="D21" s="261"/>
      <c r="E21" s="297"/>
      <c r="F21" s="298"/>
      <c r="G21" s="297"/>
      <c r="H21" s="300"/>
      <c r="I21" s="297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</row>
    <row r="22" spans="1:23" ht="4.5" customHeight="1">
      <c r="A22" s="261"/>
      <c r="B22" s="261"/>
      <c r="C22" s="261"/>
      <c r="D22" s="261"/>
      <c r="E22" s="297"/>
      <c r="F22" s="298"/>
      <c r="G22" s="297"/>
      <c r="H22" s="300"/>
      <c r="I22" s="297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</row>
    <row r="23" spans="1:23" ht="12.75">
      <c r="A23" s="261"/>
      <c r="B23" s="261"/>
      <c r="C23" s="261"/>
      <c r="D23" s="261"/>
      <c r="E23" s="297"/>
      <c r="F23" s="298"/>
      <c r="G23" s="297"/>
      <c r="H23" s="300"/>
      <c r="I23" s="297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</row>
    <row r="24" spans="1:23" ht="4.5" customHeight="1">
      <c r="A24" s="261"/>
      <c r="B24" s="261"/>
      <c r="C24" s="261"/>
      <c r="D24" s="261"/>
      <c r="E24" s="297"/>
      <c r="F24" s="298"/>
      <c r="G24" s="297"/>
      <c r="H24" s="300"/>
      <c r="I24" s="297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23" ht="4.5" customHeight="1">
      <c r="A25" s="261"/>
      <c r="B25" s="261"/>
      <c r="C25" s="261"/>
      <c r="D25" s="261"/>
      <c r="E25" s="297"/>
      <c r="F25" s="298"/>
      <c r="G25" s="297"/>
      <c r="H25" s="300"/>
      <c r="I25" s="297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</row>
    <row r="26" spans="1:23" ht="4.5" customHeight="1">
      <c r="A26" s="261"/>
      <c r="B26" s="261"/>
      <c r="C26" s="261"/>
      <c r="D26" s="261"/>
      <c r="E26" s="297"/>
      <c r="F26" s="298"/>
      <c r="G26" s="297"/>
      <c r="H26" s="300"/>
      <c r="I26" s="297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</row>
    <row r="27" spans="1:23" ht="4.5" customHeight="1">
      <c r="A27" s="261"/>
      <c r="B27" s="261"/>
      <c r="C27" s="261"/>
      <c r="D27" s="261"/>
      <c r="E27" s="297"/>
      <c r="F27" s="298"/>
      <c r="G27" s="297"/>
      <c r="H27" s="300"/>
      <c r="I27" s="297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</row>
    <row r="28" spans="1:23" ht="12.75">
      <c r="A28" s="261"/>
      <c r="B28" s="261"/>
      <c r="C28" s="261"/>
      <c r="D28" s="261"/>
      <c r="E28" s="297"/>
      <c r="F28" s="298"/>
      <c r="G28" s="297"/>
      <c r="H28" s="300"/>
      <c r="I28" s="297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</row>
    <row r="29" spans="1:23" ht="12.75">
      <c r="A29" s="261"/>
      <c r="B29" s="261"/>
      <c r="C29" s="261"/>
      <c r="D29" s="261"/>
      <c r="E29" s="297"/>
      <c r="F29" s="298"/>
      <c r="G29" s="312"/>
      <c r="H29" s="300"/>
      <c r="I29" s="297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</row>
    <row r="30" spans="1:23" ht="12.75">
      <c r="A30" s="261"/>
      <c r="B30" s="261"/>
      <c r="C30" s="261"/>
      <c r="D30" s="261"/>
      <c r="E30" s="297"/>
      <c r="F30" s="298"/>
      <c r="G30" s="34"/>
      <c r="H30" s="300"/>
      <c r="I30" s="297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</row>
    <row r="31" spans="1:23" ht="12.75">
      <c r="A31" s="261"/>
      <c r="B31" s="261"/>
      <c r="C31" s="261"/>
      <c r="D31" s="261"/>
      <c r="E31" s="297"/>
      <c r="F31" s="298"/>
      <c r="G31" s="297"/>
      <c r="H31" s="300"/>
      <c r="I31" s="297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</row>
    <row r="32" spans="1:23" ht="12.75">
      <c r="A32" s="261"/>
      <c r="B32" s="261"/>
      <c r="C32" s="261"/>
      <c r="D32" s="261"/>
      <c r="E32" s="297"/>
      <c r="F32" s="298"/>
      <c r="G32" s="297"/>
      <c r="H32" s="300"/>
      <c r="I32" s="297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</row>
    <row r="33" spans="1:23" ht="12.75">
      <c r="A33" s="261"/>
      <c r="B33" s="261"/>
      <c r="C33" s="261"/>
      <c r="D33" s="261"/>
      <c r="E33" s="297"/>
      <c r="F33" s="298"/>
      <c r="G33" s="297"/>
      <c r="H33" s="300"/>
      <c r="I33" s="297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</row>
    <row r="34" spans="1:23" ht="12.75">
      <c r="A34" s="261"/>
      <c r="B34" s="261"/>
      <c r="C34" s="261"/>
      <c r="D34" s="261"/>
      <c r="E34" s="297"/>
      <c r="F34" s="298"/>
      <c r="G34" s="297"/>
      <c r="H34" s="300"/>
      <c r="I34" s="297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</row>
    <row r="35" spans="1:23" ht="12.75">
      <c r="A35" s="261"/>
      <c r="B35" s="261"/>
      <c r="C35" s="261"/>
      <c r="D35" s="261"/>
      <c r="E35" s="297"/>
      <c r="F35" s="298"/>
      <c r="G35" s="297"/>
      <c r="H35" s="300"/>
      <c r="I35" s="297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</row>
    <row r="36" spans="1:23" ht="12.75">
      <c r="A36" s="261"/>
      <c r="B36" s="261"/>
      <c r="C36" s="261"/>
      <c r="D36" s="261"/>
      <c r="E36" s="297"/>
      <c r="F36" s="298"/>
      <c r="G36" s="297"/>
      <c r="H36" s="300"/>
      <c r="I36" s="297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</row>
    <row r="37" spans="1:23" ht="12.75">
      <c r="A37" s="261"/>
      <c r="B37" s="261"/>
      <c r="C37" s="261"/>
      <c r="D37" s="261"/>
      <c r="E37" s="297"/>
      <c r="F37" s="298"/>
      <c r="G37" s="297"/>
      <c r="H37" s="300"/>
      <c r="I37" s="297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</row>
    <row r="38" spans="1:23" ht="12.75">
      <c r="A38" s="261"/>
      <c r="B38" s="261"/>
      <c r="C38" s="261"/>
      <c r="D38" s="261"/>
      <c r="E38" s="261"/>
      <c r="F38" s="298"/>
      <c r="G38" s="297"/>
      <c r="H38" s="300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</row>
    <row r="39" spans="1:23" ht="13.5" thickBot="1">
      <c r="A39" s="261"/>
      <c r="B39" s="261"/>
      <c r="C39" s="261"/>
      <c r="D39" s="261"/>
      <c r="E39" s="261"/>
      <c r="F39" s="303"/>
      <c r="G39" s="304"/>
      <c r="H39" s="305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</row>
    <row r="40" spans="1:20" ht="12.75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</row>
    <row r="41" spans="1:20" ht="12.75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</row>
    <row r="42" spans="1:20" ht="12.7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</row>
    <row r="43" spans="1:20" ht="12.7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</row>
    <row r="44" spans="1:20" ht="12.7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</row>
    <row r="45" spans="1:20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</row>
    <row r="46" spans="1:20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</row>
    <row r="47" spans="1:20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</row>
    <row r="48" spans="1:20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</row>
    <row r="54" spans="5:7" ht="12.75">
      <c r="E54" s="34"/>
      <c r="F54" s="34"/>
      <c r="G54" s="34"/>
    </row>
    <row r="55" spans="5:7" ht="12.75">
      <c r="E55" s="34"/>
      <c r="F55" s="34"/>
      <c r="G55" s="34"/>
    </row>
    <row r="56" spans="5:7" ht="12.75">
      <c r="E56" s="34"/>
      <c r="F56" s="34"/>
      <c r="G56" s="34"/>
    </row>
    <row r="57" spans="5:7" ht="12.75">
      <c r="E57" s="34"/>
      <c r="F57" s="34"/>
      <c r="G57" s="34"/>
    </row>
    <row r="58" spans="5:7" ht="12.75">
      <c r="E58" s="34"/>
      <c r="F58" s="34"/>
      <c r="G58" s="34"/>
    </row>
    <row r="59" spans="5:7" ht="12.75">
      <c r="E59" s="34"/>
      <c r="F59" s="34"/>
      <c r="G59" s="34"/>
    </row>
    <row r="60" spans="5:7" ht="12.75">
      <c r="E60" s="34"/>
      <c r="F60" s="213"/>
      <c r="G60" s="34"/>
    </row>
    <row r="61" spans="5:7" ht="12.75">
      <c r="E61" s="34"/>
      <c r="F61" s="34"/>
      <c r="G61" s="34"/>
    </row>
    <row r="62" spans="5:7" ht="12.75">
      <c r="E62" s="34"/>
      <c r="F62" s="34"/>
      <c r="G62" s="34"/>
    </row>
    <row r="63" spans="5:7" ht="12.75">
      <c r="E63" s="34"/>
      <c r="F63" s="34"/>
      <c r="G63" s="34"/>
    </row>
  </sheetData>
  <sheetProtection password="CF7A" sheet="1" objects="1" scenarios="1"/>
  <mergeCells count="1">
    <mergeCell ref="F1:H1"/>
  </mergeCells>
  <conditionalFormatting sqref="H8">
    <cfRule type="cellIs" priority="1" dxfId="0" operator="equal" stopIfTrue="1">
      <formula>"DİKKAT"</formula>
    </cfRule>
  </conditionalFormatting>
  <dataValidations count="2">
    <dataValidation allowBlank="1" showInputMessage="1" showErrorMessage="1" promptTitle="DİKKAT" prompt="İŞLEME DEVAM ETMEK İÇİN YANDAKİ ÜÇGEN BUTONU TIKLAYINIZ" sqref="H8"/>
    <dataValidation allowBlank="1" showInputMessage="1" showErrorMessage="1" promptTitle="DİKKAT" prompt="EXEL'İN AYARLARI DEĞİŞTİRİLMİŞTİR. AYARLARI ESKİ HALİNE GETİRMEK İÇİN ALTTAKİ 2 NOLU YUVARLAK BUTONA BASINIZ" sqref="B26"/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9"/>
  <dimension ref="A1:V63"/>
  <sheetViews>
    <sheetView showRowColHeaders="0" zoomScale="75" zoomScaleNormal="75" workbookViewId="0" topLeftCell="A1">
      <selection activeCell="G8" sqref="G8:H8"/>
    </sheetView>
  </sheetViews>
  <sheetFormatPr defaultColWidth="9.140625" defaultRowHeight="12.75"/>
  <cols>
    <col min="1" max="1" width="16.7109375" style="0" customWidth="1"/>
    <col min="7" max="8" width="11.57421875" style="0" customWidth="1"/>
  </cols>
  <sheetData>
    <row r="1" spans="1:22" ht="7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39"/>
      <c r="V1" s="239"/>
    </row>
    <row r="2" spans="1:22" ht="7.5" customHeight="1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39"/>
      <c r="V2" s="239"/>
    </row>
    <row r="3" spans="1:22" ht="18.75" customHeight="1" thickBot="1">
      <c r="A3" s="210"/>
      <c r="B3" s="210"/>
      <c r="C3" s="210"/>
      <c r="D3" s="210"/>
      <c r="E3" s="210"/>
      <c r="F3" s="417">
        <f>koruma!F3</f>
      </c>
      <c r="G3" s="418"/>
      <c r="H3" s="418"/>
      <c r="I3" s="419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39"/>
      <c r="V3" s="239"/>
    </row>
    <row r="4" spans="1:22" ht="13.5" thickBot="1">
      <c r="A4" s="210"/>
      <c r="B4" s="210"/>
      <c r="C4" s="210"/>
      <c r="D4" s="210"/>
      <c r="E4" s="210"/>
      <c r="F4" s="238"/>
      <c r="G4" s="238"/>
      <c r="H4" s="238"/>
      <c r="I4" s="238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39"/>
      <c r="V4" s="239"/>
    </row>
    <row r="5" spans="1:22" ht="18.75" thickBot="1">
      <c r="A5" s="210"/>
      <c r="B5" s="210"/>
      <c r="C5" s="210"/>
      <c r="D5" s="210"/>
      <c r="E5" s="240"/>
      <c r="F5" s="238"/>
      <c r="G5" s="258" t="s">
        <v>84</v>
      </c>
      <c r="H5" s="259">
        <f>+SONUÇ!G15</f>
      </c>
      <c r="I5" s="238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39"/>
      <c r="V5" s="239"/>
    </row>
    <row r="6" spans="1:22" ht="12.75">
      <c r="A6" s="210"/>
      <c r="B6" s="210"/>
      <c r="C6" s="210"/>
      <c r="D6" s="210"/>
      <c r="E6" s="240"/>
      <c r="F6" s="238"/>
      <c r="G6" s="238"/>
      <c r="H6" s="238"/>
      <c r="I6" s="238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39"/>
      <c r="V6" s="239"/>
    </row>
    <row r="7" spans="1:22" ht="13.5" thickBot="1">
      <c r="A7" s="210"/>
      <c r="B7" s="210"/>
      <c r="C7" s="210"/>
      <c r="D7" s="210"/>
      <c r="E7" s="240"/>
      <c r="F7" s="238"/>
      <c r="G7" s="238"/>
      <c r="H7" s="238"/>
      <c r="I7" s="238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39"/>
      <c r="V7" s="239"/>
    </row>
    <row r="8" spans="1:22" ht="18.75" thickBot="1">
      <c r="A8" s="210"/>
      <c r="B8" s="210"/>
      <c r="C8" s="210"/>
      <c r="D8" s="210"/>
      <c r="E8" s="240"/>
      <c r="F8" s="238"/>
      <c r="G8" s="417" t="s">
        <v>118</v>
      </c>
      <c r="H8" s="419"/>
      <c r="I8" s="238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39"/>
      <c r="V8" s="239"/>
    </row>
    <row r="9" spans="1:22" ht="12.75">
      <c r="A9" s="210"/>
      <c r="B9" s="210"/>
      <c r="C9" s="210"/>
      <c r="D9" s="210"/>
      <c r="E9" s="240"/>
      <c r="F9" s="238"/>
      <c r="G9" s="238"/>
      <c r="H9" s="238"/>
      <c r="I9" s="238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39"/>
      <c r="V9" s="239"/>
    </row>
    <row r="10" spans="1:22" ht="12.75">
      <c r="A10" s="210"/>
      <c r="B10" s="210"/>
      <c r="C10" s="210"/>
      <c r="D10" s="210"/>
      <c r="E10" s="240"/>
      <c r="F10" s="240"/>
      <c r="G10" s="240"/>
      <c r="H10" s="240"/>
      <c r="I10" s="24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39"/>
      <c r="V10" s="239"/>
    </row>
    <row r="11" spans="1:22" ht="12.75">
      <c r="A11" s="210"/>
      <c r="B11" s="210"/>
      <c r="C11" s="210"/>
      <c r="D11" s="210"/>
      <c r="E11" s="240"/>
      <c r="F11" s="240"/>
      <c r="G11" s="240"/>
      <c r="H11" s="240"/>
      <c r="I11" s="24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39"/>
      <c r="V11" s="239"/>
    </row>
    <row r="12" spans="1:22" ht="12.75">
      <c r="A12" s="210"/>
      <c r="B12" s="210"/>
      <c r="C12" s="210"/>
      <c r="D12" s="210"/>
      <c r="E12" s="240"/>
      <c r="F12" s="240"/>
      <c r="G12" s="240"/>
      <c r="H12" s="240"/>
      <c r="I12" s="24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39"/>
      <c r="V12" s="239"/>
    </row>
    <row r="13" spans="1:22" ht="12.7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39"/>
      <c r="V13" s="239"/>
    </row>
    <row r="14" spans="1:22" ht="12.7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39"/>
      <c r="V14" s="239"/>
    </row>
    <row r="15" spans="1:22" ht="12.7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39"/>
      <c r="V15" s="239"/>
    </row>
    <row r="16" spans="1:22" ht="12.7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39"/>
      <c r="V16" s="239"/>
    </row>
    <row r="17" spans="1:22" ht="12.7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39"/>
      <c r="V17" s="239"/>
    </row>
    <row r="18" spans="1:22" ht="12.7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39"/>
      <c r="V18" s="239"/>
    </row>
    <row r="19" spans="1:22" ht="12.7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39"/>
      <c r="V19" s="239"/>
    </row>
    <row r="20" spans="1:22" ht="12.7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39"/>
      <c r="V20" s="239"/>
    </row>
    <row r="21" spans="1:22" ht="12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39"/>
      <c r="V21" s="239"/>
    </row>
    <row r="22" spans="1:22" ht="21">
      <c r="A22" s="210"/>
      <c r="B22" s="421" t="s">
        <v>152</v>
      </c>
      <c r="C22" s="421"/>
      <c r="D22" s="421"/>
      <c r="E22" s="421"/>
      <c r="F22" s="421" t="s">
        <v>153</v>
      </c>
      <c r="G22" s="421"/>
      <c r="H22" s="421"/>
      <c r="I22" s="421"/>
      <c r="J22" s="421" t="s">
        <v>154</v>
      </c>
      <c r="K22" s="421"/>
      <c r="L22" s="421"/>
      <c r="M22" s="421"/>
      <c r="N22" s="210"/>
      <c r="O22" s="210"/>
      <c r="P22" s="210"/>
      <c r="Q22" s="210"/>
      <c r="R22" s="210"/>
      <c r="S22" s="210"/>
      <c r="T22" s="210"/>
      <c r="U22" s="239"/>
      <c r="V22" s="239"/>
    </row>
    <row r="23" spans="1:22" ht="12.7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39"/>
      <c r="V23" s="239"/>
    </row>
    <row r="24" spans="1:22" ht="12.7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39"/>
      <c r="V24" s="239"/>
    </row>
    <row r="25" spans="1:22" ht="12.7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39"/>
      <c r="V25" s="239"/>
    </row>
    <row r="26" spans="1:22" ht="12.7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39"/>
      <c r="V26" s="239"/>
    </row>
    <row r="27" spans="1:22" ht="12.7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39"/>
      <c r="V27" s="239"/>
    </row>
    <row r="28" spans="1:22" ht="12.7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39"/>
      <c r="V28" s="239"/>
    </row>
    <row r="29" spans="1:22" ht="12.7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39"/>
      <c r="V29" s="239"/>
    </row>
    <row r="30" spans="1:22" ht="18">
      <c r="A30" s="210"/>
      <c r="B30" s="210"/>
      <c r="C30" s="210"/>
      <c r="D30" s="210"/>
      <c r="E30" s="420" t="str">
        <f>IF(H5&lt;0,"",IF(OR(Formüller!K22=0,ANASAYFA!H11=0),"GİRİŞ İŞLEMİNİZ EKSİK VEYA TAMAMLANMAMIŞTIR",""))</f>
        <v>GİRİŞ İŞLEMİNİZ EKSİK VEYA TAMAMLANMAMIŞTIR</v>
      </c>
      <c r="F30" s="420"/>
      <c r="G30" s="420"/>
      <c r="H30" s="420"/>
      <c r="I30" s="420"/>
      <c r="J30" s="420"/>
      <c r="K30" s="420"/>
      <c r="L30" s="210"/>
      <c r="M30" s="210"/>
      <c r="N30" s="210"/>
      <c r="O30" s="210"/>
      <c r="P30" s="210"/>
      <c r="Q30" s="210"/>
      <c r="R30" s="210"/>
      <c r="S30" s="210"/>
      <c r="T30" s="210"/>
      <c r="U30" s="239"/>
      <c r="V30" s="239"/>
    </row>
    <row r="31" spans="1:22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39"/>
      <c r="V31" s="239"/>
    </row>
    <row r="32" spans="1:22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39"/>
      <c r="V32" s="239"/>
    </row>
    <row r="33" spans="1:22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39"/>
      <c r="V33" s="239"/>
    </row>
    <row r="34" spans="1:22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39"/>
      <c r="V34" s="239"/>
    </row>
    <row r="35" spans="1:22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39"/>
      <c r="V35" s="239"/>
    </row>
    <row r="36" spans="1:22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39"/>
      <c r="V36" s="239"/>
    </row>
    <row r="37" spans="1:22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39"/>
      <c r="V37" s="239"/>
    </row>
    <row r="38" spans="1:22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39"/>
      <c r="V38" s="239"/>
    </row>
    <row r="39" spans="1:22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39"/>
      <c r="V39" s="239"/>
    </row>
    <row r="40" spans="1:22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39"/>
      <c r="V40" s="239"/>
    </row>
    <row r="41" spans="1:22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39"/>
      <c r="V41" s="239"/>
    </row>
    <row r="42" spans="1:22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39"/>
      <c r="V42" s="239"/>
    </row>
    <row r="43" spans="1:22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39"/>
      <c r="V43" s="239"/>
    </row>
    <row r="44" spans="1:22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39"/>
      <c r="V44" s="239"/>
    </row>
    <row r="45" spans="1:22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39"/>
      <c r="V45" s="239"/>
    </row>
    <row r="46" spans="1:22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</row>
    <row r="47" spans="1:22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</row>
    <row r="48" spans="1:22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</row>
    <row r="49" spans="1:22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</row>
    <row r="50" spans="1:22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</row>
    <row r="51" spans="1:22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</row>
    <row r="52" spans="1:22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</row>
    <row r="55" spans="1:22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</row>
    <row r="56" spans="1:22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</row>
    <row r="57" spans="1:22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</row>
    <row r="58" spans="1:22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</row>
    <row r="59" spans="1:22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</row>
    <row r="60" spans="1:22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</row>
    <row r="61" spans="1:22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</row>
    <row r="62" spans="1:22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</row>
    <row r="63" spans="1:22" ht="12.7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</row>
  </sheetData>
  <sheetProtection password="CF7A" sheet="1" objects="1" scenarios="1"/>
  <mergeCells count="6">
    <mergeCell ref="F3:I3"/>
    <mergeCell ref="G8:H8"/>
    <mergeCell ref="E30:K30"/>
    <mergeCell ref="B22:E22"/>
    <mergeCell ref="F22:I22"/>
    <mergeCell ref="J22:M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9"/>
  <dimension ref="A1:V63"/>
  <sheetViews>
    <sheetView showRowColHeaders="0" zoomScale="75" zoomScaleNormal="75" workbookViewId="0" topLeftCell="A1">
      <selection activeCell="J13" sqref="J13"/>
    </sheetView>
  </sheetViews>
  <sheetFormatPr defaultColWidth="9.140625" defaultRowHeight="12.75"/>
  <cols>
    <col min="4" max="4" width="17.140625" style="0" customWidth="1"/>
    <col min="7" max="8" width="11.57421875" style="0" customWidth="1"/>
    <col min="10" max="10" width="12.7109375" style="0" customWidth="1"/>
  </cols>
  <sheetData>
    <row r="1" spans="1:22" ht="3.7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39"/>
      <c r="U1" s="239"/>
      <c r="V1" s="239"/>
    </row>
    <row r="2" spans="1:22" ht="3.7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39"/>
      <c r="U2" s="239"/>
      <c r="V2" s="239"/>
    </row>
    <row r="3" spans="1:22" ht="18.75" thickBot="1">
      <c r="A3" s="211"/>
      <c r="B3" s="211"/>
      <c r="C3" s="211"/>
      <c r="D3" s="211"/>
      <c r="E3" s="211"/>
      <c r="F3" s="417">
        <f>+SONUÇ!F13</f>
      </c>
      <c r="G3" s="418"/>
      <c r="H3" s="418"/>
      <c r="I3" s="419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39"/>
      <c r="U3" s="239"/>
      <c r="V3" s="239"/>
    </row>
    <row r="4" spans="1:22" ht="13.5" thickBot="1">
      <c r="A4" s="211"/>
      <c r="B4" s="211"/>
      <c r="C4" s="211"/>
      <c r="D4" s="211"/>
      <c r="E4" s="211"/>
      <c r="F4" s="241"/>
      <c r="G4" s="241"/>
      <c r="H4" s="241"/>
      <c r="I4" s="24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39"/>
      <c r="U4" s="239"/>
      <c r="V4" s="239"/>
    </row>
    <row r="5" spans="1:22" ht="18.75" thickBot="1">
      <c r="A5" s="211"/>
      <c r="B5" s="211"/>
      <c r="C5" s="211"/>
      <c r="D5" s="211"/>
      <c r="E5" s="242"/>
      <c r="F5" s="241"/>
      <c r="G5" s="258" t="s">
        <v>84</v>
      </c>
      <c r="H5" s="259">
        <f>+SONUÇ!G15</f>
      </c>
      <c r="I5" s="24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39"/>
      <c r="U5" s="239"/>
      <c r="V5" s="239"/>
    </row>
    <row r="6" spans="1:22" ht="12.75">
      <c r="A6" s="211"/>
      <c r="B6" s="211"/>
      <c r="C6" s="211"/>
      <c r="D6" s="211"/>
      <c r="E6" s="242"/>
      <c r="F6" s="241"/>
      <c r="G6" s="241"/>
      <c r="H6" s="241"/>
      <c r="I6" s="24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39"/>
      <c r="U6" s="239"/>
      <c r="V6" s="239"/>
    </row>
    <row r="7" spans="1:22" ht="12.75">
      <c r="A7" s="211"/>
      <c r="B7" s="211"/>
      <c r="C7" s="211"/>
      <c r="D7" s="211"/>
      <c r="E7" s="242"/>
      <c r="F7" s="241"/>
      <c r="G7" s="241"/>
      <c r="H7" s="241"/>
      <c r="I7" s="24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39"/>
      <c r="U7" s="239"/>
      <c r="V7" s="239"/>
    </row>
    <row r="8" spans="1:22" ht="27" customHeight="1">
      <c r="A8" s="211"/>
      <c r="B8" s="211"/>
      <c r="C8" s="211"/>
      <c r="D8" s="211"/>
      <c r="E8" s="242"/>
      <c r="F8" s="241"/>
      <c r="G8" s="241"/>
      <c r="H8" s="241"/>
      <c r="I8" s="24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39"/>
      <c r="U8" s="239"/>
      <c r="V8" s="239"/>
    </row>
    <row r="9" spans="1:22" ht="27" customHeight="1">
      <c r="A9" s="211"/>
      <c r="B9" s="211"/>
      <c r="C9" s="211"/>
      <c r="D9" s="211"/>
      <c r="E9" s="242"/>
      <c r="F9" s="241"/>
      <c r="G9" s="241"/>
      <c r="H9" s="241"/>
      <c r="I9" s="24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39"/>
      <c r="U9" s="239"/>
      <c r="V9" s="239"/>
    </row>
    <row r="10" spans="1:22" ht="16.5" customHeight="1">
      <c r="A10" s="211"/>
      <c r="B10" s="211"/>
      <c r="C10" s="211"/>
      <c r="D10" s="211"/>
      <c r="E10" s="242"/>
      <c r="F10" s="241"/>
      <c r="G10" s="241"/>
      <c r="H10" s="241"/>
      <c r="I10" s="241"/>
      <c r="J10" s="243"/>
      <c r="K10" s="211"/>
      <c r="L10" s="211"/>
      <c r="M10" s="211"/>
      <c r="N10" s="211"/>
      <c r="O10" s="211"/>
      <c r="P10" s="211"/>
      <c r="Q10" s="211"/>
      <c r="R10" s="211"/>
      <c r="S10" s="211"/>
      <c r="T10" s="239"/>
      <c r="U10" s="239"/>
      <c r="V10" s="239"/>
    </row>
    <row r="11" spans="1:22" ht="16.5" customHeight="1">
      <c r="A11" s="211"/>
      <c r="B11" s="211"/>
      <c r="C11" s="211"/>
      <c r="D11" s="211"/>
      <c r="E11" s="242"/>
      <c r="F11" s="242"/>
      <c r="G11" s="242"/>
      <c r="H11" s="242"/>
      <c r="I11" s="242"/>
      <c r="J11" s="243"/>
      <c r="K11" s="211"/>
      <c r="L11" s="211"/>
      <c r="M11" s="211"/>
      <c r="N11" s="211"/>
      <c r="O11" s="211"/>
      <c r="P11" s="211"/>
      <c r="Q11" s="211"/>
      <c r="R11" s="211"/>
      <c r="S11" s="211"/>
      <c r="T11" s="239"/>
      <c r="U11" s="239"/>
      <c r="V11" s="239"/>
    </row>
    <row r="12" spans="1:22" ht="13.5" thickBot="1">
      <c r="A12" s="211"/>
      <c r="B12" s="211"/>
      <c r="C12" s="211"/>
      <c r="D12" s="211"/>
      <c r="E12" s="242"/>
      <c r="F12" s="242"/>
      <c r="G12" s="242"/>
      <c r="H12" s="242"/>
      <c r="I12" s="242"/>
      <c r="J12" s="243"/>
      <c r="K12" s="211"/>
      <c r="L12" s="211"/>
      <c r="M12" s="211"/>
      <c r="N12" s="211"/>
      <c r="O12" s="211"/>
      <c r="P12" s="211"/>
      <c r="Q12" s="211"/>
      <c r="R12" s="211"/>
      <c r="S12" s="211"/>
      <c r="T12" s="239"/>
      <c r="U12" s="239"/>
      <c r="V12" s="239"/>
    </row>
    <row r="13" spans="1:22" ht="29.25" customHeight="1" thickBot="1">
      <c r="A13" s="211"/>
      <c r="B13" s="211"/>
      <c r="C13" s="211"/>
      <c r="D13" s="211"/>
      <c r="E13" s="211"/>
      <c r="F13" s="211"/>
      <c r="G13" s="211"/>
      <c r="H13" s="211"/>
      <c r="I13" s="211"/>
      <c r="J13" s="327"/>
      <c r="K13" s="211"/>
      <c r="L13" s="211"/>
      <c r="M13" s="211"/>
      <c r="N13" s="211"/>
      <c r="O13" s="211"/>
      <c r="P13" s="211"/>
      <c r="Q13" s="211"/>
      <c r="R13" s="211"/>
      <c r="S13" s="211"/>
      <c r="T13" s="239"/>
      <c r="U13" s="239"/>
      <c r="V13" s="239"/>
    </row>
    <row r="14" spans="1:22" ht="20.25">
      <c r="A14" s="211"/>
      <c r="B14" s="286">
        <f>IF(J13="","",IF(koruma!J13&lt;ANASAYFA!H10/2,"DİKKAT ! KORUMA MESAFESİ ",""))</f>
      </c>
      <c r="C14" s="211"/>
      <c r="D14" s="211"/>
      <c r="E14" s="211"/>
      <c r="F14" s="211"/>
      <c r="G14" s="211"/>
      <c r="H14" s="211"/>
      <c r="I14" s="211"/>
      <c r="J14" s="244"/>
      <c r="K14" s="211"/>
      <c r="L14" s="211"/>
      <c r="M14" s="211"/>
      <c r="N14" s="211"/>
      <c r="O14" s="211"/>
      <c r="P14" s="211"/>
      <c r="Q14" s="211"/>
      <c r="R14" s="211"/>
      <c r="S14" s="211"/>
      <c r="T14" s="239"/>
      <c r="U14" s="239"/>
      <c r="V14" s="239"/>
    </row>
    <row r="15" spans="1:22" ht="20.25">
      <c r="A15" s="211"/>
      <c r="B15" s="286">
        <f>IF(J13="","",IF(koruma!J13&lt;ANASAYFA!H10/2,"BİNA BOYUTUNUN YARISINDAN KÜÇÜKTÜR",""))</f>
      </c>
      <c r="C15" s="211"/>
      <c r="D15" s="211"/>
      <c r="E15" s="211"/>
      <c r="F15" s="211"/>
      <c r="G15" s="211"/>
      <c r="H15" s="211"/>
      <c r="I15" s="211"/>
      <c r="J15" s="244"/>
      <c r="K15" s="211"/>
      <c r="L15" s="211"/>
      <c r="M15" s="211"/>
      <c r="N15" s="211"/>
      <c r="O15" s="211"/>
      <c r="P15" s="211"/>
      <c r="Q15" s="211"/>
      <c r="R15" s="211"/>
      <c r="S15" s="211"/>
      <c r="T15" s="239"/>
      <c r="U15" s="239"/>
      <c r="V15" s="239"/>
    </row>
    <row r="16" spans="1:22" ht="18">
      <c r="A16" s="211"/>
      <c r="B16" s="285">
        <f>+SONUÇ!AC27</f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39"/>
      <c r="U16" s="239"/>
      <c r="V16" s="239"/>
    </row>
    <row r="17" spans="1:22" ht="18">
      <c r="A17" s="211"/>
      <c r="B17" s="285">
        <f>IF(B16="","","Bu mesafeyi aşan değerler için 1 'den fazla paratoner kullanılması gerekmektedir.")</f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39"/>
      <c r="U17" s="239"/>
      <c r="V17" s="239"/>
    </row>
    <row r="18" spans="1:22" ht="12.75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39"/>
      <c r="U18" s="239"/>
      <c r="V18" s="239"/>
    </row>
    <row r="19" spans="1:22" ht="18">
      <c r="A19" s="211"/>
      <c r="B19" s="211"/>
      <c r="C19" s="211"/>
      <c r="D19" s="211"/>
      <c r="E19" s="245"/>
      <c r="F19" s="245"/>
      <c r="G19" s="245"/>
      <c r="H19" s="245"/>
      <c r="I19" s="245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39"/>
      <c r="U19" s="239"/>
      <c r="V19" s="239"/>
    </row>
    <row r="20" spans="1:22" ht="18">
      <c r="A20" s="211"/>
      <c r="B20" s="211"/>
      <c r="C20" s="211"/>
      <c r="D20" s="211"/>
      <c r="E20" s="422" t="str">
        <f>+METOD!E30</f>
        <v>GİRİŞ İŞLEMİNİZ EKSİK VEYA TAMAMLANMAMIŞTIR</v>
      </c>
      <c r="F20" s="422"/>
      <c r="G20" s="422"/>
      <c r="H20" s="422"/>
      <c r="I20" s="422"/>
      <c r="J20" s="422"/>
      <c r="K20" s="422"/>
      <c r="L20" s="211"/>
      <c r="M20" s="211"/>
      <c r="N20" s="211"/>
      <c r="O20" s="211"/>
      <c r="P20" s="211"/>
      <c r="Q20" s="211"/>
      <c r="R20" s="211"/>
      <c r="S20" s="211"/>
      <c r="T20" s="239"/>
      <c r="U20" s="239"/>
      <c r="V20" s="239"/>
    </row>
    <row r="21" spans="1:22" ht="12.7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39"/>
      <c r="U21" s="239"/>
      <c r="V21" s="239"/>
    </row>
    <row r="22" spans="1:22" ht="12.7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39"/>
      <c r="U22" s="239"/>
      <c r="V22" s="239"/>
    </row>
    <row r="23" spans="1:22" ht="18">
      <c r="A23" s="211"/>
      <c r="B23" s="285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39"/>
      <c r="U23" s="239"/>
      <c r="V23" s="239"/>
    </row>
    <row r="24" spans="1:22" ht="12.75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39"/>
      <c r="U24" s="239"/>
      <c r="V24" s="239"/>
    </row>
    <row r="25" spans="1:22" ht="12.75">
      <c r="A25" s="211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39"/>
      <c r="U25" s="239"/>
      <c r="V25" s="239"/>
    </row>
    <row r="26" spans="1:22" ht="12.75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39"/>
      <c r="U26" s="239"/>
      <c r="V26" s="239"/>
    </row>
    <row r="27" spans="1:22" ht="12.7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39"/>
      <c r="U27" s="239"/>
      <c r="V27" s="239"/>
    </row>
    <row r="28" spans="1:22" ht="12.7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39"/>
      <c r="U28" s="239"/>
      <c r="V28" s="239"/>
    </row>
    <row r="29" spans="1:22" ht="12.75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39"/>
      <c r="U29" s="239"/>
      <c r="V29" s="239"/>
    </row>
    <row r="30" spans="1:22" ht="12.75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39"/>
      <c r="U30" s="239"/>
      <c r="V30" s="239"/>
    </row>
    <row r="31" spans="1:22" ht="12.7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39"/>
      <c r="U31" s="239"/>
      <c r="V31" s="239"/>
    </row>
    <row r="32" spans="1:22" ht="12.7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39"/>
      <c r="U32" s="239"/>
      <c r="V32" s="239"/>
    </row>
    <row r="33" spans="1:22" ht="12.7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39"/>
      <c r="U33" s="239"/>
      <c r="V33" s="239"/>
    </row>
    <row r="34" spans="1:22" ht="12.75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39"/>
      <c r="U34" s="239"/>
      <c r="V34" s="239"/>
    </row>
    <row r="35" spans="1:22" ht="12.7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39"/>
      <c r="U35" s="239"/>
      <c r="V35" s="239"/>
    </row>
    <row r="36" spans="1:22" ht="12.7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39"/>
      <c r="U36" s="239"/>
      <c r="V36" s="239"/>
    </row>
    <row r="37" spans="1:22" ht="12.75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39"/>
      <c r="U37" s="239"/>
      <c r="V37" s="239"/>
    </row>
    <row r="38" spans="1:22" ht="12.7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39"/>
      <c r="U38" s="239"/>
      <c r="V38" s="239"/>
    </row>
    <row r="39" spans="1:22" ht="12.75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39"/>
      <c r="U39" s="239"/>
      <c r="V39" s="239"/>
    </row>
    <row r="40" spans="1:22" ht="12.75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39"/>
      <c r="U40" s="239"/>
      <c r="V40" s="239"/>
    </row>
    <row r="41" spans="1:22" ht="12.7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39"/>
      <c r="U41" s="239"/>
      <c r="V41" s="239"/>
    </row>
    <row r="42" spans="1:22" ht="12.7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</row>
    <row r="43" spans="1:22" ht="12.7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</row>
    <row r="44" spans="1:22" ht="12.7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</row>
    <row r="45" spans="1:22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</row>
    <row r="46" spans="1:22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</row>
    <row r="47" spans="1:22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</row>
    <row r="48" spans="1:22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</row>
    <row r="49" spans="1:22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</row>
    <row r="50" spans="1:22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</row>
    <row r="51" spans="1:22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</row>
    <row r="52" spans="1:22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</row>
    <row r="55" spans="1:22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</row>
    <row r="56" spans="1:22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</row>
    <row r="57" spans="1:22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</row>
    <row r="58" spans="1:22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</row>
    <row r="59" spans="1:22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</row>
    <row r="60" spans="1:22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</row>
    <row r="61" spans="1:22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</row>
    <row r="62" spans="1:22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</row>
    <row r="63" spans="1:22" ht="12.7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</row>
  </sheetData>
  <sheetProtection password="CF7A" sheet="1" objects="1" scenarios="1"/>
  <mergeCells count="2">
    <mergeCell ref="F3:I3"/>
    <mergeCell ref="E20:K20"/>
  </mergeCells>
  <conditionalFormatting sqref="J14:J15">
    <cfRule type="cellIs" priority="1" dxfId="0" operator="equal" stopIfTrue="1">
      <formula>"DİKKAT"</formula>
    </cfRule>
  </conditionalFormatting>
  <dataValidations count="1">
    <dataValidation allowBlank="1" showInputMessage="1" showErrorMessage="1" promptTitle="DİKKAT" prompt="İŞLEME DEVAM ETMEK İÇİN SAĞ BUTONU TIKLAYINIZ" sqref="J14:J15"/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20"/>
  <dimension ref="A1:Z63"/>
  <sheetViews>
    <sheetView showRowColHeaders="0" zoomScale="75" zoomScaleNormal="75" workbookViewId="0" topLeftCell="A1">
      <selection activeCell="H20" sqref="H20"/>
    </sheetView>
  </sheetViews>
  <sheetFormatPr defaultColWidth="9.140625" defaultRowHeight="12.75"/>
  <cols>
    <col min="1" max="2" width="1.7109375" style="0" customWidth="1"/>
    <col min="4" max="4" width="9.00390625" style="0" customWidth="1"/>
    <col min="5" max="7" width="23.140625" style="0" customWidth="1"/>
    <col min="8" max="8" width="22.28125" style="0" customWidth="1"/>
    <col min="9" max="9" width="23.7109375" style="0" bestFit="1" customWidth="1"/>
    <col min="10" max="10" width="28.8515625" style="0" bestFit="1" customWidth="1"/>
  </cols>
  <sheetData>
    <row r="1" spans="1:22" ht="13.5" thickBot="1">
      <c r="A1" s="246"/>
      <c r="B1" s="246"/>
      <c r="C1" s="246"/>
      <c r="D1" s="246"/>
      <c r="E1" s="246"/>
      <c r="F1" s="246"/>
      <c r="G1" s="246">
        <v>0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39"/>
      <c r="U1" s="239"/>
      <c r="V1" s="239"/>
    </row>
    <row r="2" spans="1:22" ht="21" thickBot="1">
      <c r="A2" s="246"/>
      <c r="B2" s="246"/>
      <c r="C2" s="246"/>
      <c r="D2" s="246"/>
      <c r="E2" s="246"/>
      <c r="F2" s="423" t="s">
        <v>119</v>
      </c>
      <c r="G2" s="424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39"/>
      <c r="U2" s="239"/>
      <c r="V2" s="239"/>
    </row>
    <row r="3" spans="1:22" ht="12.75">
      <c r="A3" s="246"/>
      <c r="B3" s="246"/>
      <c r="C3" s="246"/>
      <c r="D3" s="246"/>
      <c r="E3" s="246"/>
      <c r="F3" s="247"/>
      <c r="G3" s="247"/>
      <c r="H3" s="247"/>
      <c r="I3" s="247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39"/>
      <c r="U3" s="239"/>
      <c r="V3" s="239"/>
    </row>
    <row r="4" spans="1:22" ht="18">
      <c r="A4" s="246"/>
      <c r="B4" s="246"/>
      <c r="C4" s="246"/>
      <c r="D4" s="246"/>
      <c r="E4" s="429" t="str">
        <f>+METOD!E30</f>
        <v>GİRİŞ İŞLEMİNİZ EKSİK VEYA TAMAMLANMAMIŞTIR</v>
      </c>
      <c r="F4" s="429"/>
      <c r="G4" s="429"/>
      <c r="H4" s="429"/>
      <c r="I4" s="247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39"/>
      <c r="U4" s="239"/>
      <c r="V4" s="239"/>
    </row>
    <row r="5" spans="1:22" ht="18.75" thickBot="1">
      <c r="A5" s="246"/>
      <c r="B5" s="246"/>
      <c r="C5" s="246"/>
      <c r="D5" s="246"/>
      <c r="E5" s="313"/>
      <c r="F5" s="313"/>
      <c r="G5" s="313"/>
      <c r="H5" s="313"/>
      <c r="I5" s="247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39"/>
      <c r="U5" s="239"/>
      <c r="V5" s="239"/>
    </row>
    <row r="6" spans="1:22" ht="18.75" thickBot="1">
      <c r="A6" s="246"/>
      <c r="B6" s="246"/>
      <c r="C6" s="246"/>
      <c r="D6" s="246"/>
      <c r="E6" s="248"/>
      <c r="F6" s="258" t="s">
        <v>84</v>
      </c>
      <c r="G6" s="259">
        <f>+SONUÇ!G15</f>
      </c>
      <c r="H6" s="247"/>
      <c r="I6" s="247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39"/>
      <c r="U6" s="239"/>
      <c r="V6" s="239"/>
    </row>
    <row r="7" spans="1:22" ht="12.75">
      <c r="A7" s="246"/>
      <c r="B7" s="246"/>
      <c r="C7" s="246"/>
      <c r="D7" s="246"/>
      <c r="E7" s="248"/>
      <c r="F7" s="247"/>
      <c r="G7" s="247"/>
      <c r="H7" s="247"/>
      <c r="I7" s="247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39"/>
      <c r="U7" s="239"/>
      <c r="V7" s="239"/>
    </row>
    <row r="8" spans="1:22" ht="13.5" thickBot="1">
      <c r="A8" s="246"/>
      <c r="B8" s="246"/>
      <c r="C8" s="246"/>
      <c r="D8" s="246"/>
      <c r="E8" s="248"/>
      <c r="F8" s="247"/>
      <c r="G8" s="247"/>
      <c r="H8" s="247"/>
      <c r="I8" s="247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39"/>
      <c r="U8" s="239"/>
      <c r="V8" s="239"/>
    </row>
    <row r="9" spans="1:22" ht="21" thickBot="1">
      <c r="A9" s="246"/>
      <c r="B9" s="246"/>
      <c r="C9" s="246"/>
      <c r="D9" s="251"/>
      <c r="E9" s="248"/>
      <c r="F9" s="427" t="s">
        <v>85</v>
      </c>
      <c r="G9" s="428"/>
      <c r="H9" s="247"/>
      <c r="I9" s="247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39"/>
      <c r="U9" s="239"/>
      <c r="V9" s="239"/>
    </row>
    <row r="10" spans="1:26" ht="18.75" thickBot="1">
      <c r="A10" s="246"/>
      <c r="B10" s="246"/>
      <c r="C10" s="246"/>
      <c r="D10" s="246"/>
      <c r="E10" s="248"/>
      <c r="F10" s="425">
        <f>+SONUÇ!F13</f>
      </c>
      <c r="G10" s="426"/>
      <c r="H10" s="247"/>
      <c r="I10" s="260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39"/>
      <c r="U10" s="239"/>
      <c r="V10" s="239"/>
      <c r="X10" s="163" t="s">
        <v>77</v>
      </c>
      <c r="Y10" s="33">
        <f>+IF($F$10=X10,G17,"")</f>
      </c>
      <c r="Z10" s="33">
        <f>+IF($F$10=X10,H17,"")</f>
      </c>
    </row>
    <row r="11" spans="1:26" ht="27" customHeight="1" thickBot="1">
      <c r="A11" s="246"/>
      <c r="B11" s="246"/>
      <c r="C11" s="246"/>
      <c r="D11" s="246"/>
      <c r="E11" s="248"/>
      <c r="F11" s="273"/>
      <c r="G11" s="324"/>
      <c r="H11" s="247"/>
      <c r="I11" s="247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39"/>
      <c r="U11" s="239"/>
      <c r="V11" s="239"/>
      <c r="X11" s="164" t="s">
        <v>87</v>
      </c>
      <c r="Y11" s="33">
        <f>+IF($F$10=X11,G17,"")</f>
      </c>
      <c r="Z11" s="33">
        <f>+IF($F$10=X11,H17,"")</f>
      </c>
    </row>
    <row r="12" spans="1:26" ht="19.5" customHeight="1" thickBot="1">
      <c r="A12" s="246"/>
      <c r="B12" s="246"/>
      <c r="C12" s="246"/>
      <c r="D12" s="246"/>
      <c r="E12" s="248"/>
      <c r="F12" s="337">
        <f>+Y15</f>
      </c>
      <c r="G12" s="337">
        <f>+Z15</f>
      </c>
      <c r="H12" s="247"/>
      <c r="I12" s="247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39"/>
      <c r="U12" s="239"/>
      <c r="V12" s="239"/>
      <c r="X12" s="163" t="s">
        <v>75</v>
      </c>
      <c r="Y12" s="33">
        <f>+IF($F$10=X12,G18,"")</f>
      </c>
      <c r="Z12" s="33">
        <f>+IF($F$10=X12,H18,"")</f>
      </c>
    </row>
    <row r="13" spans="1:26" ht="13.5" thickBot="1">
      <c r="A13" s="246"/>
      <c r="B13" s="246"/>
      <c r="C13" s="246"/>
      <c r="D13" s="246"/>
      <c r="E13" s="247"/>
      <c r="F13" s="247"/>
      <c r="G13" s="247"/>
      <c r="H13" s="247"/>
      <c r="I13" s="247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39"/>
      <c r="U13" s="239"/>
      <c r="V13" s="239"/>
      <c r="X13" s="165" t="s">
        <v>76</v>
      </c>
      <c r="Y13" s="33">
        <f>+IF($F$10=X13,G19,"")</f>
      </c>
      <c r="Z13" s="33">
        <f>+IF($F$10=X13,H19,"")</f>
      </c>
    </row>
    <row r="14" spans="1:26" ht="18.75" customHeight="1" thickBot="1">
      <c r="A14" s="246"/>
      <c r="B14" s="246"/>
      <c r="C14" s="246"/>
      <c r="D14" s="246"/>
      <c r="E14" s="248"/>
      <c r="F14" s="289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39"/>
      <c r="U14" s="239"/>
      <c r="V14" s="239"/>
      <c r="X14" s="165" t="s">
        <v>117</v>
      </c>
      <c r="Y14" s="33">
        <f>+IF($F$10=X14,G20,"")</f>
      </c>
      <c r="Z14" s="33">
        <f>+IF($F$10=X14,H20,"")</f>
      </c>
    </row>
    <row r="15" spans="1:26" ht="13.5" thickBot="1">
      <c r="A15" s="246"/>
      <c r="B15" s="246"/>
      <c r="C15" s="246"/>
      <c r="D15" s="246"/>
      <c r="E15" s="248"/>
      <c r="F15" s="247"/>
      <c r="G15" s="247"/>
      <c r="H15" s="247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39"/>
      <c r="U15" s="239"/>
      <c r="V15" s="239"/>
      <c r="Y15" s="229">
        <f>Y10&amp;Y11&amp;Y12&amp;Y13&amp;Y14</f>
      </c>
      <c r="Z15" s="229">
        <f>Z10&amp;Z11&amp;Z12&amp;Z13&amp;Z14</f>
      </c>
    </row>
    <row r="16" spans="1:22" ht="24.75" customHeight="1">
      <c r="A16" s="246"/>
      <c r="B16" s="246"/>
      <c r="C16" s="246"/>
      <c r="D16" s="246"/>
      <c r="E16" s="267"/>
      <c r="F16" s="270"/>
      <c r="G16" s="271"/>
      <c r="H16" s="324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39"/>
      <c r="U16" s="239"/>
      <c r="V16" s="239"/>
    </row>
    <row r="17" spans="1:22" ht="15.75">
      <c r="A17" s="246"/>
      <c r="B17" s="246"/>
      <c r="C17" s="246"/>
      <c r="D17" s="246"/>
      <c r="E17" s="268"/>
      <c r="F17" s="263">
        <v>20</v>
      </c>
      <c r="G17" s="264" t="s">
        <v>126</v>
      </c>
      <c r="H17" s="264">
        <v>10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39"/>
      <c r="U17" s="239"/>
      <c r="V17" s="239"/>
    </row>
    <row r="18" spans="1:22" ht="15.75">
      <c r="A18" s="246"/>
      <c r="B18" s="246"/>
      <c r="C18" s="246"/>
      <c r="D18" s="246"/>
      <c r="E18" s="268">
        <v>0</v>
      </c>
      <c r="F18" s="263">
        <v>30</v>
      </c>
      <c r="G18" s="264" t="s">
        <v>127</v>
      </c>
      <c r="H18" s="264">
        <v>15</v>
      </c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39"/>
      <c r="U18" s="239"/>
      <c r="V18" s="239"/>
    </row>
    <row r="19" spans="1:22" ht="15.75">
      <c r="A19" s="246"/>
      <c r="B19" s="246"/>
      <c r="C19" s="246"/>
      <c r="D19" s="246"/>
      <c r="E19" s="268"/>
      <c r="F19" s="263">
        <v>45</v>
      </c>
      <c r="G19" s="264" t="s">
        <v>128</v>
      </c>
      <c r="H19" s="264">
        <v>20</v>
      </c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39"/>
      <c r="U19" s="239"/>
      <c r="V19" s="239"/>
    </row>
    <row r="20" spans="1:22" ht="15.75">
      <c r="A20" s="246"/>
      <c r="B20" s="246"/>
      <c r="C20" s="246"/>
      <c r="D20" s="246"/>
      <c r="E20" s="269"/>
      <c r="F20" s="265">
        <v>60</v>
      </c>
      <c r="G20" s="266" t="s">
        <v>129</v>
      </c>
      <c r="H20" s="266">
        <v>25</v>
      </c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39"/>
      <c r="U20" s="239"/>
      <c r="V20" s="239"/>
    </row>
    <row r="21" spans="1:22" ht="18">
      <c r="A21" s="246"/>
      <c r="B21" s="246"/>
      <c r="C21" s="246"/>
      <c r="D21" s="246"/>
      <c r="E21" s="246"/>
      <c r="F21" s="246"/>
      <c r="G21" s="246"/>
      <c r="H21" s="252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39"/>
      <c r="U21" s="239"/>
      <c r="V21" s="239"/>
    </row>
    <row r="22" spans="1:22" ht="18">
      <c r="A22" s="246"/>
      <c r="B22" s="246"/>
      <c r="C22" s="246"/>
      <c r="D22" s="246"/>
      <c r="E22" s="246"/>
      <c r="F22" s="246"/>
      <c r="G22" s="246"/>
      <c r="H22" s="252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39"/>
      <c r="U22" s="239"/>
      <c r="V22" s="239"/>
    </row>
    <row r="23" spans="1:22" ht="18">
      <c r="A23" s="246"/>
      <c r="B23" s="246"/>
      <c r="C23" s="246"/>
      <c r="D23" s="246"/>
      <c r="E23" s="246"/>
      <c r="F23" s="246"/>
      <c r="G23" s="246"/>
      <c r="H23" s="252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39"/>
      <c r="U23" s="239"/>
      <c r="V23" s="239"/>
    </row>
    <row r="24" spans="1:22" ht="18">
      <c r="A24" s="246"/>
      <c r="B24" s="246"/>
      <c r="C24" s="246"/>
      <c r="D24" s="246"/>
      <c r="E24" s="246"/>
      <c r="F24" s="246"/>
      <c r="G24" s="246"/>
      <c r="H24" s="252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39"/>
      <c r="U24" s="239"/>
      <c r="V24" s="239"/>
    </row>
    <row r="25" spans="1:22" ht="18">
      <c r="A25" s="246"/>
      <c r="B25" s="246"/>
      <c r="C25" s="246"/>
      <c r="D25" s="246"/>
      <c r="E25" s="246"/>
      <c r="F25" s="246"/>
      <c r="G25" s="246"/>
      <c r="H25" s="252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39"/>
      <c r="U25" s="239"/>
      <c r="V25" s="239"/>
    </row>
    <row r="26" spans="1:22" ht="12.75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39"/>
      <c r="U26" s="239"/>
      <c r="V26" s="239"/>
    </row>
    <row r="27" spans="1:22" ht="12.75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39"/>
      <c r="U27" s="239"/>
      <c r="V27" s="239"/>
    </row>
    <row r="28" spans="1:22" ht="12.75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39"/>
      <c r="U28" s="239"/>
      <c r="V28" s="239"/>
    </row>
    <row r="29" spans="1:22" ht="12.75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39"/>
      <c r="U29" s="239"/>
      <c r="V29" s="239"/>
    </row>
    <row r="30" spans="1:22" ht="12.75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39"/>
      <c r="U30" s="239"/>
      <c r="V30" s="239"/>
    </row>
    <row r="31" spans="1:22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39"/>
      <c r="U31" s="239"/>
      <c r="V31" s="239"/>
    </row>
    <row r="32" spans="1:22" ht="12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39"/>
      <c r="U32" s="239"/>
      <c r="V32" s="239"/>
    </row>
    <row r="33" spans="1:22" ht="12.75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39"/>
      <c r="U33" s="239"/>
      <c r="V33" s="239"/>
    </row>
    <row r="34" spans="1:22" ht="12.7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39"/>
      <c r="U34" s="239"/>
      <c r="V34" s="239"/>
    </row>
    <row r="35" spans="1:22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39"/>
      <c r="U35" s="239"/>
      <c r="V35" s="239"/>
    </row>
    <row r="36" spans="1:22" ht="12.75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39"/>
      <c r="U36" s="239"/>
      <c r="V36" s="239"/>
    </row>
    <row r="37" spans="1:22" ht="12.75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39"/>
      <c r="U37" s="239"/>
      <c r="V37" s="239"/>
    </row>
    <row r="38" spans="1:22" ht="12.75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39"/>
      <c r="U38" s="239"/>
      <c r="V38" s="239"/>
    </row>
    <row r="39" spans="1:22" ht="12.75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39"/>
      <c r="U39" s="239"/>
      <c r="V39" s="239"/>
    </row>
    <row r="40" spans="1:22" ht="12.75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39"/>
      <c r="U40" s="239"/>
      <c r="V40" s="239"/>
    </row>
    <row r="41" spans="1:22" ht="12.75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39"/>
      <c r="U41" s="239"/>
      <c r="V41" s="239"/>
    </row>
    <row r="42" spans="1:22" ht="12.7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</row>
    <row r="43" spans="1:22" ht="12.7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</row>
    <row r="44" spans="1:22" ht="12.7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</row>
    <row r="45" spans="1:22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</row>
    <row r="46" spans="1:22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</row>
    <row r="47" spans="1:22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</row>
    <row r="48" spans="1:22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</row>
    <row r="49" spans="1:22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</row>
    <row r="50" spans="1:22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</row>
    <row r="51" spans="1:22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</row>
    <row r="52" spans="1:22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</row>
    <row r="55" spans="1:22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</row>
    <row r="56" spans="1:22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</row>
    <row r="57" spans="1:22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</row>
    <row r="58" spans="1:22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</row>
    <row r="59" spans="1:22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</row>
    <row r="60" spans="1:22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</row>
    <row r="61" spans="1:22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</row>
    <row r="62" spans="1:22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</row>
    <row r="63" spans="1:22" ht="12.7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</row>
  </sheetData>
  <sheetProtection password="CF7A" sheet="1" objects="1" scenarios="1"/>
  <mergeCells count="4">
    <mergeCell ref="F2:G2"/>
    <mergeCell ref="F10:G10"/>
    <mergeCell ref="F9:G9"/>
    <mergeCell ref="E4:H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23"/>
  <dimension ref="A1:V69"/>
  <sheetViews>
    <sheetView showRowColHeaders="0" zoomScale="75" zoomScaleNormal="75" workbookViewId="0" topLeftCell="A1">
      <selection activeCell="J8" sqref="J8"/>
    </sheetView>
  </sheetViews>
  <sheetFormatPr defaultColWidth="9.140625" defaultRowHeight="12.75"/>
  <cols>
    <col min="1" max="1" width="6.7109375" style="0" customWidth="1"/>
    <col min="5" max="9" width="12.7109375" style="0" customWidth="1"/>
    <col min="10" max="10" width="12.28125" style="0" customWidth="1"/>
    <col min="11" max="11" width="4.57421875" style="0" customWidth="1"/>
    <col min="12" max="12" width="13.421875" style="0" customWidth="1"/>
  </cols>
  <sheetData>
    <row r="1" spans="1:22" ht="12.7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39"/>
      <c r="U1" s="239"/>
      <c r="V1" s="239"/>
    </row>
    <row r="2" spans="1:22" ht="18">
      <c r="A2" s="253"/>
      <c r="B2" s="253"/>
      <c r="C2" s="253"/>
      <c r="D2" s="253"/>
      <c r="E2" s="435" t="str">
        <f>+METOD!E30</f>
        <v>GİRİŞ İŞLEMİNİZ EKSİK VEYA TAMAMLANMAMIŞTIR</v>
      </c>
      <c r="F2" s="435"/>
      <c r="G2" s="435"/>
      <c r="H2" s="435"/>
      <c r="I2" s="435"/>
      <c r="J2" s="435"/>
      <c r="K2" s="435"/>
      <c r="L2" s="253"/>
      <c r="M2" s="253"/>
      <c r="N2" s="253"/>
      <c r="O2" s="253"/>
      <c r="P2" s="253"/>
      <c r="Q2" s="253"/>
      <c r="R2" s="253"/>
      <c r="S2" s="253"/>
      <c r="T2" s="239"/>
      <c r="U2" s="239"/>
      <c r="V2" s="239"/>
    </row>
    <row r="3" spans="1:22" ht="12.75">
      <c r="A3" s="253"/>
      <c r="B3" s="253"/>
      <c r="C3" s="253"/>
      <c r="D3" s="253"/>
      <c r="E3" s="253"/>
      <c r="F3" s="254"/>
      <c r="G3" s="254"/>
      <c r="H3" s="254"/>
      <c r="I3" s="254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39"/>
      <c r="U3" s="239"/>
      <c r="V3" s="239"/>
    </row>
    <row r="4" spans="1:22" ht="12.75">
      <c r="A4" s="253"/>
      <c r="B4" s="253"/>
      <c r="C4" s="253"/>
      <c r="D4" s="253"/>
      <c r="E4" s="253"/>
      <c r="F4" s="254"/>
      <c r="G4" s="254"/>
      <c r="H4" s="254"/>
      <c r="I4" s="254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39"/>
      <c r="U4" s="239"/>
      <c r="V4" s="239"/>
    </row>
    <row r="5" spans="1:22" ht="13.5" thickBot="1">
      <c r="A5" s="253"/>
      <c r="B5" s="253"/>
      <c r="C5" s="253"/>
      <c r="D5" s="253"/>
      <c r="E5" s="255"/>
      <c r="F5" s="254"/>
      <c r="G5" s="254"/>
      <c r="H5" s="254"/>
      <c r="I5" s="254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39"/>
      <c r="U5" s="239"/>
      <c r="V5" s="239"/>
    </row>
    <row r="6" spans="1:22" ht="18.75" thickBot="1">
      <c r="A6" s="253"/>
      <c r="B6" s="253"/>
      <c r="C6" s="253"/>
      <c r="D6" s="253"/>
      <c r="E6" s="255"/>
      <c r="F6" s="254"/>
      <c r="G6" s="249" t="s">
        <v>84</v>
      </c>
      <c r="H6" s="250">
        <f>+SONUÇ!G15</f>
      </c>
      <c r="I6" s="254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39"/>
      <c r="U6" s="239"/>
      <c r="V6" s="239"/>
    </row>
    <row r="7" spans="1:22" ht="13.5" thickBot="1">
      <c r="A7" s="253"/>
      <c r="B7" s="253"/>
      <c r="C7" s="253"/>
      <c r="D7" s="253"/>
      <c r="E7" s="255"/>
      <c r="F7" s="254"/>
      <c r="G7" s="254"/>
      <c r="H7" s="254"/>
      <c r="I7" s="254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39"/>
      <c r="U7" s="239"/>
      <c r="V7" s="239"/>
    </row>
    <row r="8" spans="1:22" ht="21" thickBot="1">
      <c r="A8" s="253"/>
      <c r="B8" s="253"/>
      <c r="C8" s="253"/>
      <c r="D8" s="256"/>
      <c r="E8" s="425" t="s">
        <v>138</v>
      </c>
      <c r="F8" s="433"/>
      <c r="G8" s="433"/>
      <c r="H8" s="433"/>
      <c r="I8" s="434"/>
      <c r="J8" s="329"/>
      <c r="K8" s="253"/>
      <c r="L8" s="253"/>
      <c r="M8" s="253"/>
      <c r="N8" s="253"/>
      <c r="O8" s="253"/>
      <c r="P8" s="253"/>
      <c r="Q8" s="253"/>
      <c r="R8" s="253"/>
      <c r="S8" s="253"/>
      <c r="T8" s="239"/>
      <c r="U8" s="239"/>
      <c r="V8" s="239"/>
    </row>
    <row r="9" spans="1:22" ht="20.25">
      <c r="A9" s="253"/>
      <c r="B9" s="253"/>
      <c r="C9" s="253"/>
      <c r="D9" s="256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39"/>
      <c r="U9" s="239"/>
      <c r="V9" s="239"/>
    </row>
    <row r="10" spans="1:22" ht="20.25">
      <c r="A10" s="253"/>
      <c r="B10" s="253"/>
      <c r="C10" s="253"/>
      <c r="D10" s="256"/>
      <c r="E10" s="437">
        <f>IF(E2="GİRİŞ İŞLEMİNİZ EKSİK VEYA TAMAMLANMAMIŞTIR","",IF(F17="YILDIRIM RİSKİ YOKTUR","",+F17&amp;"  İÇİN MAX. YÜKSEKLİK"))</f>
      </c>
      <c r="F10" s="438"/>
      <c r="G10" s="438"/>
      <c r="H10" s="438"/>
      <c r="I10" s="439"/>
      <c r="J10" s="335">
        <f>IF(E10="","",+franklinson!D80)</f>
      </c>
      <c r="K10" s="253"/>
      <c r="L10" s="253"/>
      <c r="M10" s="253"/>
      <c r="N10" s="253"/>
      <c r="O10" s="253"/>
      <c r="P10" s="253"/>
      <c r="Q10" s="253"/>
      <c r="R10" s="253"/>
      <c r="S10" s="253"/>
      <c r="T10" s="239"/>
      <c r="U10" s="239"/>
      <c r="V10" s="239"/>
    </row>
    <row r="11" spans="1:22" ht="20.25">
      <c r="A11" s="253"/>
      <c r="B11" s="253"/>
      <c r="C11" s="253"/>
      <c r="D11" s="256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39"/>
      <c r="U11" s="239"/>
      <c r="V11" s="239"/>
    </row>
    <row r="12" spans="1:22" ht="20.25">
      <c r="A12" s="253"/>
      <c r="B12" s="253"/>
      <c r="C12" s="253"/>
      <c r="D12" s="256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39"/>
      <c r="U12" s="239"/>
      <c r="V12" s="239"/>
    </row>
    <row r="13" spans="1:22" ht="20.25">
      <c r="A13" s="253"/>
      <c r="B13" s="253"/>
      <c r="C13" s="253"/>
      <c r="D13" s="256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39"/>
      <c r="U13" s="239"/>
      <c r="V13" s="239"/>
    </row>
    <row r="14" spans="1:22" ht="20.25">
      <c r="A14" s="253"/>
      <c r="B14" s="253"/>
      <c r="C14" s="253"/>
      <c r="D14" s="256"/>
      <c r="E14" s="436">
        <f>+franklinson!E15</f>
      </c>
      <c r="F14" s="436"/>
      <c r="G14" s="436"/>
      <c r="H14" s="436"/>
      <c r="I14" s="436"/>
      <c r="J14" s="436"/>
      <c r="K14" s="253"/>
      <c r="L14" s="253"/>
      <c r="M14" s="253"/>
      <c r="N14" s="253"/>
      <c r="O14" s="253"/>
      <c r="P14" s="253"/>
      <c r="Q14" s="253"/>
      <c r="R14" s="253"/>
      <c r="S14" s="253"/>
      <c r="T14" s="239"/>
      <c r="U14" s="239"/>
      <c r="V14" s="239"/>
    </row>
    <row r="15" spans="1:22" ht="20.25">
      <c r="A15" s="253"/>
      <c r="B15" s="253"/>
      <c r="C15" s="253"/>
      <c r="D15" s="256"/>
      <c r="E15" s="255"/>
      <c r="F15" s="254"/>
      <c r="G15" s="254"/>
      <c r="H15" s="254"/>
      <c r="I15" s="254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39"/>
      <c r="U15" s="239"/>
      <c r="V15" s="239"/>
    </row>
    <row r="16" spans="1:22" ht="12.75">
      <c r="A16" s="253"/>
      <c r="B16" s="253"/>
      <c r="C16" s="253"/>
      <c r="D16" s="253"/>
      <c r="E16" s="255"/>
      <c r="F16" s="254"/>
      <c r="G16" s="254"/>
      <c r="H16" s="254"/>
      <c r="I16" s="254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39"/>
      <c r="U16" s="239"/>
      <c r="V16" s="239"/>
    </row>
    <row r="17" spans="1:22" ht="19.5" customHeight="1">
      <c r="A17" s="253"/>
      <c r="B17" s="253"/>
      <c r="C17" s="253"/>
      <c r="D17" s="253"/>
      <c r="E17" s="255"/>
      <c r="F17" s="430">
        <f>+koruma!F3</f>
      </c>
      <c r="G17" s="431"/>
      <c r="H17" s="431"/>
      <c r="I17" s="432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39"/>
      <c r="U17" s="239"/>
      <c r="V17" s="239"/>
    </row>
    <row r="18" spans="1:22" ht="12.75">
      <c r="A18" s="253"/>
      <c r="B18" s="253"/>
      <c r="C18" s="253"/>
      <c r="D18" s="253"/>
      <c r="E18" s="255"/>
      <c r="F18" s="254"/>
      <c r="G18" s="254"/>
      <c r="H18" s="254"/>
      <c r="I18" s="254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39"/>
      <c r="U18" s="239"/>
      <c r="V18" s="239"/>
    </row>
    <row r="19" spans="1:22" ht="21.75" customHeight="1">
      <c r="A19" s="253"/>
      <c r="B19" s="253"/>
      <c r="C19" s="253"/>
      <c r="D19" s="253"/>
      <c r="E19" s="253"/>
      <c r="F19" s="254"/>
      <c r="G19" s="254"/>
      <c r="H19" s="254"/>
      <c r="I19" s="254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39"/>
      <c r="U19" s="239"/>
      <c r="V19" s="239"/>
    </row>
    <row r="20" spans="1:22" ht="21.75" customHeight="1">
      <c r="A20" s="253"/>
      <c r="B20" s="253"/>
      <c r="C20" s="253"/>
      <c r="D20" s="253"/>
      <c r="E20" s="253"/>
      <c r="F20" s="254"/>
      <c r="G20" s="254"/>
      <c r="H20" s="254"/>
      <c r="I20" s="254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39"/>
      <c r="U20" s="239"/>
      <c r="V20" s="239"/>
    </row>
    <row r="21" spans="1:22" ht="21.75" customHeight="1">
      <c r="A21" s="253"/>
      <c r="B21" s="253"/>
      <c r="C21" s="253"/>
      <c r="D21" s="253"/>
      <c r="E21" s="253"/>
      <c r="F21" s="254"/>
      <c r="G21" s="254"/>
      <c r="H21" s="254"/>
      <c r="I21" s="254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39"/>
      <c r="U21" s="239"/>
      <c r="V21" s="239"/>
    </row>
    <row r="22" spans="1:22" ht="18.75" customHeight="1">
      <c r="A22" s="253"/>
      <c r="B22" s="253"/>
      <c r="C22" s="253"/>
      <c r="D22" s="253"/>
      <c r="E22" s="253"/>
      <c r="F22" s="254"/>
      <c r="G22" s="254"/>
      <c r="H22" s="254"/>
      <c r="I22" s="254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39"/>
      <c r="U22" s="239"/>
      <c r="V22" s="239"/>
    </row>
    <row r="23" spans="1:22" ht="18.75" customHeight="1">
      <c r="A23" s="253"/>
      <c r="B23" s="253"/>
      <c r="C23" s="253"/>
      <c r="D23" s="253"/>
      <c r="E23" s="254"/>
      <c r="F23" s="254"/>
      <c r="G23" s="254"/>
      <c r="H23" s="254"/>
      <c r="I23" s="254"/>
      <c r="J23" s="254"/>
      <c r="K23" s="254"/>
      <c r="L23" s="253"/>
      <c r="M23" s="253"/>
      <c r="N23" s="253"/>
      <c r="O23" s="253"/>
      <c r="P23" s="253"/>
      <c r="Q23" s="253"/>
      <c r="R23" s="253"/>
      <c r="S23" s="253"/>
      <c r="T23" s="239"/>
      <c r="U23" s="239"/>
      <c r="V23" s="239"/>
    </row>
    <row r="24" spans="1:22" ht="18.75" customHeight="1">
      <c r="A24" s="253"/>
      <c r="B24" s="253"/>
      <c r="C24" s="253"/>
      <c r="D24" s="253"/>
      <c r="E24" s="253"/>
      <c r="F24" s="254"/>
      <c r="G24" s="254"/>
      <c r="H24" s="254"/>
      <c r="I24" s="254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39"/>
      <c r="U24" s="239"/>
      <c r="V24" s="239"/>
    </row>
    <row r="25" spans="1:22" ht="18.75" customHeight="1">
      <c r="A25" s="253"/>
      <c r="B25" s="253"/>
      <c r="C25" s="253"/>
      <c r="D25" s="253"/>
      <c r="E25" s="253"/>
      <c r="F25" s="254"/>
      <c r="G25" s="254"/>
      <c r="H25" s="254"/>
      <c r="I25" s="254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39"/>
      <c r="U25" s="239"/>
      <c r="V25" s="239"/>
    </row>
    <row r="26" spans="1:22" ht="12.75">
      <c r="A26" s="253"/>
      <c r="B26" s="253"/>
      <c r="C26" s="253"/>
      <c r="D26" s="253"/>
      <c r="E26" s="253"/>
      <c r="F26" s="254"/>
      <c r="G26" s="254"/>
      <c r="H26" s="254"/>
      <c r="I26" s="254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39"/>
      <c r="U26" s="239"/>
      <c r="V26" s="239"/>
    </row>
    <row r="27" spans="1:22" ht="22.5" customHeight="1">
      <c r="A27" s="253"/>
      <c r="B27" s="253"/>
      <c r="C27" s="253"/>
      <c r="D27" s="253"/>
      <c r="E27" s="253"/>
      <c r="F27" s="254"/>
      <c r="G27" s="254"/>
      <c r="H27" s="254"/>
      <c r="I27" s="254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39"/>
      <c r="U27" s="239"/>
      <c r="V27" s="239"/>
    </row>
    <row r="28" spans="1:22" ht="12.7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39"/>
      <c r="U28" s="239"/>
      <c r="V28" s="239"/>
    </row>
    <row r="29" spans="1:22" ht="12.75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39"/>
      <c r="U29" s="239"/>
      <c r="V29" s="239"/>
    </row>
    <row r="30" spans="1:22" ht="12.7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39"/>
      <c r="U30" s="239"/>
      <c r="V30" s="239"/>
    </row>
    <row r="31" spans="1:22" ht="12.7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39"/>
      <c r="U31" s="239"/>
      <c r="V31" s="239"/>
    </row>
    <row r="32" spans="1:22" ht="12.7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39"/>
      <c r="U32" s="239"/>
      <c r="V32" s="239"/>
    </row>
    <row r="33" spans="1:22" ht="12.7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39"/>
      <c r="U33" s="239"/>
      <c r="V33" s="239"/>
    </row>
    <row r="34" spans="1:22" ht="12.7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39"/>
      <c r="U34" s="239"/>
      <c r="V34" s="239"/>
    </row>
    <row r="35" spans="1:22" ht="12.75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39"/>
      <c r="U35" s="239"/>
      <c r="V35" s="239"/>
    </row>
    <row r="36" spans="1:22" ht="12.7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39"/>
      <c r="U36" s="239"/>
      <c r="V36" s="239"/>
    </row>
    <row r="37" spans="1:22" ht="12.7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39"/>
      <c r="U37" s="239"/>
      <c r="V37" s="239"/>
    </row>
    <row r="38" spans="1:22" ht="12.7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39"/>
      <c r="U38" s="239"/>
      <c r="V38" s="239"/>
    </row>
    <row r="39" spans="1:22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39"/>
      <c r="U39" s="239"/>
      <c r="V39" s="239"/>
    </row>
    <row r="40" spans="1:22" ht="12.75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39"/>
      <c r="U40" s="239"/>
      <c r="V40" s="239"/>
    </row>
    <row r="41" spans="1:22" ht="12.7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39"/>
      <c r="U41" s="239"/>
      <c r="V41" s="239"/>
    </row>
    <row r="42" spans="1:22" ht="12.7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39"/>
      <c r="U42" s="239"/>
      <c r="V42" s="239"/>
    </row>
    <row r="43" spans="1:22" ht="12.7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39"/>
      <c r="U43" s="239"/>
      <c r="V43" s="239"/>
    </row>
    <row r="44" spans="1:22" ht="12.7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39"/>
      <c r="U44" s="239"/>
      <c r="V44" s="239"/>
    </row>
    <row r="45" spans="1:22" ht="12.7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39"/>
      <c r="U45" s="239"/>
      <c r="V45" s="239"/>
    </row>
    <row r="46" spans="1:22" ht="12.75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39"/>
      <c r="U46" s="239"/>
      <c r="V46" s="239"/>
    </row>
    <row r="47" spans="1:22" ht="12.75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39"/>
      <c r="U47" s="239"/>
      <c r="V47" s="239"/>
    </row>
    <row r="48" spans="1:22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</row>
    <row r="49" spans="1:22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</row>
    <row r="50" spans="1:22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</row>
    <row r="51" spans="1:22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</row>
    <row r="52" spans="1:22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</row>
    <row r="55" spans="1:22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</row>
    <row r="56" spans="1:22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</row>
    <row r="57" spans="1:22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</row>
    <row r="58" spans="1:22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</row>
    <row r="59" spans="1:22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</row>
    <row r="60" spans="1:22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</row>
    <row r="61" spans="1:22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</row>
    <row r="62" spans="1:22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</row>
    <row r="63" spans="1:22" ht="12.7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</row>
    <row r="64" spans="1:22" ht="12.75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</row>
    <row r="65" spans="1:22" ht="12.75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</row>
    <row r="66" spans="1:22" ht="12.75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</row>
    <row r="67" spans="1:22" ht="12.75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</row>
    <row r="68" spans="1:22" ht="12.75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</row>
    <row r="69" spans="1:22" ht="12.75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</row>
  </sheetData>
  <sheetProtection password="CF7A" sheet="1" objects="1" scenarios="1"/>
  <mergeCells count="5">
    <mergeCell ref="F17:I17"/>
    <mergeCell ref="E8:I8"/>
    <mergeCell ref="E2:K2"/>
    <mergeCell ref="E14:J14"/>
    <mergeCell ref="E10:I10"/>
  </mergeCells>
  <dataValidations count="2">
    <dataValidation allowBlank="1" showInputMessage="1" showErrorMessage="1" promptTitle="VEYA" prompt="TOPRAKLANMIŞ NOKTANIN TOPRAĞA GÖRE YÜKSEKLİĞİ" sqref="E8:I8"/>
    <dataValidation allowBlank="1" showInputMessage="1" showErrorMessage="1" promptTitle="DİKKAT" prompt="İŞLEME DEVAM ETMEK İÇİN SAĞ OK BUTONUNU TIKLAYINIZ" sqref="J9"/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21"/>
  <dimension ref="A1:V80"/>
  <sheetViews>
    <sheetView showRowColHeaders="0" zoomScale="75" zoomScaleNormal="75" workbookViewId="0" topLeftCell="A1">
      <selection activeCell="F2" sqref="F2:I2"/>
    </sheetView>
  </sheetViews>
  <sheetFormatPr defaultColWidth="9.140625" defaultRowHeight="12.75"/>
  <cols>
    <col min="1" max="1" width="10.7109375" style="0" customWidth="1"/>
    <col min="2" max="3" width="3.57421875" style="0" customWidth="1"/>
    <col min="5" max="5" width="12.7109375" style="0" customWidth="1"/>
    <col min="7" max="9" width="14.7109375" style="0" customWidth="1"/>
    <col min="10" max="11" width="12.28125" style="0" customWidth="1"/>
    <col min="12" max="12" width="13.421875" style="0" customWidth="1"/>
  </cols>
  <sheetData>
    <row r="1" spans="1:22" ht="13.5" thickBo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39"/>
      <c r="U1" s="239"/>
      <c r="V1" s="239"/>
    </row>
    <row r="2" spans="1:22" ht="21.75" thickBot="1" thickTop="1">
      <c r="A2" s="253"/>
      <c r="B2" s="253"/>
      <c r="C2" s="253"/>
      <c r="D2" s="253"/>
      <c r="E2" s="253"/>
      <c r="F2" s="445" t="s">
        <v>120</v>
      </c>
      <c r="G2" s="446"/>
      <c r="H2" s="446"/>
      <c r="I2" s="447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39"/>
      <c r="U2" s="239"/>
      <c r="V2" s="239"/>
    </row>
    <row r="3" spans="1:22" ht="11.25" customHeight="1" thickTop="1">
      <c r="A3" s="253"/>
      <c r="B3" s="253"/>
      <c r="C3" s="253"/>
      <c r="D3" s="253"/>
      <c r="E3" s="253"/>
      <c r="F3" s="253"/>
      <c r="G3" s="254"/>
      <c r="H3" s="254"/>
      <c r="I3" s="254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39"/>
      <c r="U3" s="239"/>
      <c r="V3" s="239"/>
    </row>
    <row r="4" spans="1:22" ht="18">
      <c r="A4" s="253"/>
      <c r="B4" s="253"/>
      <c r="C4" s="253"/>
      <c r="D4" s="253"/>
      <c r="E4" s="435" t="str">
        <f>+METOD!E30</f>
        <v>GİRİŞ İŞLEMİNİZ EKSİK VEYA TAMAMLANMAMIŞTIR</v>
      </c>
      <c r="F4" s="435"/>
      <c r="G4" s="435"/>
      <c r="H4" s="435"/>
      <c r="I4" s="435"/>
      <c r="J4" s="435"/>
      <c r="K4" s="253"/>
      <c r="L4" s="253"/>
      <c r="M4" s="253"/>
      <c r="N4" s="253"/>
      <c r="O4" s="253"/>
      <c r="P4" s="253"/>
      <c r="Q4" s="253"/>
      <c r="R4" s="253"/>
      <c r="S4" s="253"/>
      <c r="T4" s="239"/>
      <c r="U4" s="239"/>
      <c r="V4" s="239"/>
    </row>
    <row r="5" spans="1:22" ht="9.75" customHeight="1" thickBot="1">
      <c r="A5" s="253"/>
      <c r="B5" s="253"/>
      <c r="C5" s="253"/>
      <c r="D5" s="253"/>
      <c r="E5" s="253"/>
      <c r="F5" s="314"/>
      <c r="G5" s="314"/>
      <c r="H5" s="314"/>
      <c r="I5" s="314"/>
      <c r="J5" s="314"/>
      <c r="K5" s="253"/>
      <c r="L5" s="253"/>
      <c r="M5" s="253"/>
      <c r="N5" s="253"/>
      <c r="O5" s="253"/>
      <c r="P5" s="253"/>
      <c r="Q5" s="253"/>
      <c r="R5" s="253"/>
      <c r="S5" s="253"/>
      <c r="T5" s="239"/>
      <c r="U5" s="239"/>
      <c r="V5" s="239"/>
    </row>
    <row r="6" spans="1:22" ht="18.75" thickBot="1">
      <c r="A6" s="253"/>
      <c r="B6" s="253"/>
      <c r="C6" s="253"/>
      <c r="D6" s="253"/>
      <c r="E6" s="255"/>
      <c r="F6" s="253"/>
      <c r="G6" s="249" t="s">
        <v>84</v>
      </c>
      <c r="H6" s="250">
        <f>+SONUÇ!G15</f>
      </c>
      <c r="I6" s="254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39"/>
      <c r="U6" s="239"/>
      <c r="V6" s="239"/>
    </row>
    <row r="7" spans="1:22" ht="13.5" thickBot="1">
      <c r="A7" s="253"/>
      <c r="B7" s="253"/>
      <c r="C7" s="253"/>
      <c r="D7" s="253"/>
      <c r="E7" s="255"/>
      <c r="F7" s="253"/>
      <c r="G7" s="254"/>
      <c r="H7" s="254"/>
      <c r="I7" s="254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39"/>
      <c r="U7" s="239"/>
      <c r="V7" s="239"/>
    </row>
    <row r="8" spans="1:22" ht="19.5" thickBot="1" thickTop="1">
      <c r="A8" s="253"/>
      <c r="B8" s="253"/>
      <c r="C8" s="253"/>
      <c r="D8" s="253"/>
      <c r="E8" s="255"/>
      <c r="F8" s="442">
        <f>+SONUÇ!F13</f>
      </c>
      <c r="G8" s="443"/>
      <c r="H8" s="443"/>
      <c r="I8" s="444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39"/>
      <c r="U8" s="239"/>
      <c r="V8" s="239"/>
    </row>
    <row r="9" spans="1:22" ht="14.25" thickBot="1" thickTop="1">
      <c r="A9" s="253"/>
      <c r="B9" s="253"/>
      <c r="C9" s="253"/>
      <c r="D9" s="253"/>
      <c r="E9" s="255"/>
      <c r="F9" s="253"/>
      <c r="G9" s="254"/>
      <c r="H9" s="254"/>
      <c r="I9" s="254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39"/>
      <c r="U9" s="239"/>
      <c r="V9" s="239"/>
    </row>
    <row r="10" spans="1:22" ht="18.75" thickBot="1">
      <c r="A10" s="253"/>
      <c r="B10" s="253"/>
      <c r="C10" s="253"/>
      <c r="D10" s="253"/>
      <c r="E10" s="449" t="s">
        <v>156</v>
      </c>
      <c r="F10" s="450"/>
      <c r="G10" s="450"/>
      <c r="H10" s="450"/>
      <c r="I10" s="451"/>
      <c r="J10" s="332">
        <f>+franklin!J8</f>
        <v>0</v>
      </c>
      <c r="K10" s="253"/>
      <c r="L10" s="253"/>
      <c r="M10" s="253"/>
      <c r="N10" s="253"/>
      <c r="O10" s="253"/>
      <c r="P10" s="253"/>
      <c r="Q10" s="253"/>
      <c r="R10" s="253"/>
      <c r="S10" s="253"/>
      <c r="T10" s="239"/>
      <c r="U10" s="239"/>
      <c r="V10" s="239"/>
    </row>
    <row r="11" spans="1:22" ht="21" customHeight="1" thickBot="1">
      <c r="A11" s="253"/>
      <c r="B11" s="253"/>
      <c r="C11" s="253"/>
      <c r="D11" s="253"/>
      <c r="E11" s="330"/>
      <c r="F11" s="331"/>
      <c r="G11" s="449" t="s">
        <v>157</v>
      </c>
      <c r="H11" s="450"/>
      <c r="I11" s="451"/>
      <c r="J11" s="333">
        <f>IF(F8=F75,K75,IF(F8=F76,K76,IF(F8=F77,K77,IF(F8=F78,K78,IF(F8=F79,K79,"")))))</f>
      </c>
      <c r="K11" s="253"/>
      <c r="L11" s="253"/>
      <c r="M11" s="253"/>
      <c r="N11" s="253"/>
      <c r="O11" s="253"/>
      <c r="P11" s="253"/>
      <c r="Q11" s="253"/>
      <c r="R11" s="253"/>
      <c r="S11" s="253"/>
      <c r="T11" s="239"/>
      <c r="U11" s="239"/>
      <c r="V11" s="239"/>
    </row>
    <row r="12" spans="1:22" ht="21" customHeight="1" thickBot="1">
      <c r="A12" s="253"/>
      <c r="B12" s="253"/>
      <c r="C12" s="253"/>
      <c r="D12" s="253"/>
      <c r="E12" s="330"/>
      <c r="F12" s="331"/>
      <c r="G12" s="449" t="s">
        <v>158</v>
      </c>
      <c r="H12" s="450"/>
      <c r="I12" s="451"/>
      <c r="J12" s="334">
        <f>IF(OR(J11="*",J11=""),"",J10*TAN(J11*PI()/180))</f>
      </c>
      <c r="K12" s="253"/>
      <c r="L12" s="253"/>
      <c r="M12" s="253"/>
      <c r="N12" s="253"/>
      <c r="O12" s="253"/>
      <c r="P12" s="253"/>
      <c r="Q12" s="253"/>
      <c r="R12" s="253"/>
      <c r="S12" s="253"/>
      <c r="T12" s="239"/>
      <c r="U12" s="239"/>
      <c r="V12" s="239"/>
    </row>
    <row r="13" spans="1:22" ht="12.75">
      <c r="A13" s="253"/>
      <c r="B13" s="253"/>
      <c r="C13" s="253"/>
      <c r="D13" s="253"/>
      <c r="E13" s="255"/>
      <c r="F13" s="253"/>
      <c r="G13" s="254"/>
      <c r="H13" s="254"/>
      <c r="I13" s="254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39"/>
      <c r="U13" s="239"/>
      <c r="V13" s="239"/>
    </row>
    <row r="14" spans="1:22" ht="12.75">
      <c r="A14" s="253"/>
      <c r="B14" s="253"/>
      <c r="C14" s="253"/>
      <c r="D14" s="253"/>
      <c r="E14" s="255"/>
      <c r="F14" s="253"/>
      <c r="G14" s="254"/>
      <c r="H14" s="254"/>
      <c r="I14" s="254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39"/>
      <c r="U14" s="239"/>
      <c r="V14" s="239"/>
    </row>
    <row r="15" spans="1:22" ht="18.75" customHeight="1">
      <c r="A15" s="253"/>
      <c r="B15" s="253"/>
      <c r="C15" s="253"/>
      <c r="D15" s="253"/>
      <c r="E15" s="448">
        <f>IF(F8=F75,L75,IF(F8=F76,L76,IF(F8=F77,L77,IF(F8=F78,L78,IF(F8=F79,L79,"")))))</f>
      </c>
      <c r="F15" s="448"/>
      <c r="G15" s="448"/>
      <c r="H15" s="448"/>
      <c r="I15" s="448"/>
      <c r="J15" s="448"/>
      <c r="K15" s="253"/>
      <c r="L15" s="253"/>
      <c r="M15" s="253"/>
      <c r="N15" s="253"/>
      <c r="O15" s="253"/>
      <c r="P15" s="253"/>
      <c r="Q15" s="253"/>
      <c r="R15" s="253"/>
      <c r="S15" s="253"/>
      <c r="T15" s="239"/>
      <c r="U15" s="239"/>
      <c r="V15" s="239"/>
    </row>
    <row r="16" spans="1:22" ht="5.25" customHeight="1">
      <c r="A16" s="253"/>
      <c r="B16" s="253"/>
      <c r="C16" s="253"/>
      <c r="D16" s="253"/>
      <c r="E16" s="253"/>
      <c r="F16" s="254"/>
      <c r="G16" s="254"/>
      <c r="H16" s="254"/>
      <c r="I16" s="254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39"/>
      <c r="U16" s="239"/>
      <c r="V16" s="239"/>
    </row>
    <row r="17" spans="1:22" ht="21.75" customHeight="1">
      <c r="A17" s="253"/>
      <c r="B17" s="253"/>
      <c r="C17" s="253"/>
      <c r="D17" s="253"/>
      <c r="E17" s="440" t="s">
        <v>121</v>
      </c>
      <c r="F17" s="278" t="s">
        <v>130</v>
      </c>
      <c r="G17" s="279">
        <v>20</v>
      </c>
      <c r="H17" s="279">
        <v>30</v>
      </c>
      <c r="I17" s="279">
        <v>45</v>
      </c>
      <c r="J17" s="279">
        <v>60</v>
      </c>
      <c r="K17" s="253"/>
      <c r="L17" s="253"/>
      <c r="M17" s="253"/>
      <c r="N17" s="253"/>
      <c r="O17" s="253"/>
      <c r="P17" s="253"/>
      <c r="Q17" s="253"/>
      <c r="R17" s="253"/>
      <c r="S17" s="253"/>
      <c r="T17" s="239"/>
      <c r="U17" s="239"/>
      <c r="V17" s="239"/>
    </row>
    <row r="18" spans="1:22" ht="21.75" customHeight="1">
      <c r="A18" s="253"/>
      <c r="B18" s="253"/>
      <c r="C18" s="253"/>
      <c r="D18" s="253"/>
      <c r="E18" s="441"/>
      <c r="F18" s="280" t="s">
        <v>131</v>
      </c>
      <c r="G18" s="282" t="s">
        <v>132</v>
      </c>
      <c r="H18" s="282" t="s">
        <v>132</v>
      </c>
      <c r="I18" s="282" t="s">
        <v>132</v>
      </c>
      <c r="J18" s="282" t="s">
        <v>132</v>
      </c>
      <c r="K18" s="253"/>
      <c r="L18" s="253"/>
      <c r="M18" s="253"/>
      <c r="N18" s="253"/>
      <c r="O18" s="253"/>
      <c r="P18" s="253"/>
      <c r="Q18" s="253"/>
      <c r="R18" s="253"/>
      <c r="S18" s="253"/>
      <c r="T18" s="239"/>
      <c r="U18" s="239"/>
      <c r="V18" s="239"/>
    </row>
    <row r="19" spans="1:22" ht="18.75" customHeight="1">
      <c r="A19" s="253"/>
      <c r="B19" s="253"/>
      <c r="C19" s="253"/>
      <c r="D19" s="253"/>
      <c r="E19" s="274" t="s">
        <v>122</v>
      </c>
      <c r="F19" s="281">
        <v>20</v>
      </c>
      <c r="G19" s="276">
        <v>25</v>
      </c>
      <c r="H19" s="275" t="s">
        <v>133</v>
      </c>
      <c r="I19" s="275" t="s">
        <v>133</v>
      </c>
      <c r="J19" s="277" t="s">
        <v>133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39"/>
      <c r="U19" s="239"/>
      <c r="V19" s="239"/>
    </row>
    <row r="20" spans="1:22" ht="18.75" customHeight="1">
      <c r="A20" s="253"/>
      <c r="B20" s="253"/>
      <c r="C20" s="253"/>
      <c r="D20" s="253"/>
      <c r="E20" s="274" t="s">
        <v>123</v>
      </c>
      <c r="F20" s="281">
        <v>30</v>
      </c>
      <c r="G20" s="276">
        <v>35</v>
      </c>
      <c r="H20" s="276">
        <v>25</v>
      </c>
      <c r="I20" s="275" t="s">
        <v>133</v>
      </c>
      <c r="J20" s="277" t="s">
        <v>133</v>
      </c>
      <c r="K20" s="253"/>
      <c r="L20" s="253"/>
      <c r="M20" s="253"/>
      <c r="N20" s="253"/>
      <c r="O20" s="253"/>
      <c r="P20" s="253"/>
      <c r="Q20" s="253"/>
      <c r="R20" s="253"/>
      <c r="S20" s="253"/>
      <c r="T20" s="239"/>
      <c r="U20" s="239"/>
      <c r="V20" s="239"/>
    </row>
    <row r="21" spans="1:22" ht="18.75" customHeight="1">
      <c r="A21" s="253"/>
      <c r="B21" s="253"/>
      <c r="C21" s="253"/>
      <c r="D21" s="253"/>
      <c r="E21" s="274" t="s">
        <v>124</v>
      </c>
      <c r="F21" s="281">
        <v>45</v>
      </c>
      <c r="G21" s="276">
        <v>45</v>
      </c>
      <c r="H21" s="276">
        <v>35</v>
      </c>
      <c r="I21" s="276">
        <v>25</v>
      </c>
      <c r="J21" s="275" t="s">
        <v>133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39"/>
      <c r="U21" s="239"/>
      <c r="V21" s="239"/>
    </row>
    <row r="22" spans="1:22" ht="18.75" customHeight="1">
      <c r="A22" s="253"/>
      <c r="B22" s="253"/>
      <c r="C22" s="253"/>
      <c r="D22" s="253"/>
      <c r="E22" s="274" t="s">
        <v>125</v>
      </c>
      <c r="F22" s="281">
        <v>60</v>
      </c>
      <c r="G22" s="276">
        <v>55</v>
      </c>
      <c r="H22" s="276">
        <v>45</v>
      </c>
      <c r="I22" s="276">
        <v>35</v>
      </c>
      <c r="J22" s="276">
        <v>25</v>
      </c>
      <c r="K22" s="253"/>
      <c r="L22" s="253"/>
      <c r="M22" s="253"/>
      <c r="N22" s="253"/>
      <c r="O22" s="253"/>
      <c r="P22" s="253"/>
      <c r="Q22" s="253"/>
      <c r="R22" s="253"/>
      <c r="S22" s="253"/>
      <c r="T22" s="239"/>
      <c r="U22" s="239"/>
      <c r="V22" s="239"/>
    </row>
    <row r="23" spans="1:22" ht="9.75" customHeight="1">
      <c r="A23" s="253"/>
      <c r="B23" s="253"/>
      <c r="C23" s="253"/>
      <c r="D23" s="253"/>
      <c r="E23" s="257"/>
      <c r="F23" s="257"/>
      <c r="G23" s="257"/>
      <c r="H23" s="257"/>
      <c r="I23" s="257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39"/>
      <c r="U23" s="239"/>
      <c r="V23" s="239"/>
    </row>
    <row r="24" spans="1:22" ht="22.5" customHeight="1">
      <c r="A24" s="253"/>
      <c r="B24" s="253"/>
      <c r="C24" s="253"/>
      <c r="D24" s="253"/>
      <c r="E24" s="253"/>
      <c r="F24" s="257"/>
      <c r="G24" s="257"/>
      <c r="H24" s="257"/>
      <c r="I24" s="257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39"/>
      <c r="U24" s="239"/>
      <c r="V24" s="239"/>
    </row>
    <row r="25" spans="1:22" ht="12.7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39"/>
      <c r="U25" s="239"/>
      <c r="V25" s="239"/>
    </row>
    <row r="26" spans="1:22" ht="12.7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39"/>
      <c r="U26" s="239"/>
      <c r="V26" s="239"/>
    </row>
    <row r="27" spans="1:22" ht="12.75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39"/>
      <c r="U27" s="239"/>
      <c r="V27" s="239"/>
    </row>
    <row r="28" spans="1:22" ht="12.7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39"/>
      <c r="U28" s="239"/>
      <c r="V28" s="239"/>
    </row>
    <row r="29" spans="1:22" ht="12.75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39"/>
      <c r="U29" s="239"/>
      <c r="V29" s="239"/>
    </row>
    <row r="30" spans="1:22" ht="12.75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39"/>
      <c r="U30" s="239"/>
      <c r="V30" s="239"/>
    </row>
    <row r="31" spans="1:22" ht="12.75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39"/>
      <c r="U31" s="239"/>
      <c r="V31" s="239"/>
    </row>
    <row r="32" spans="1:22" ht="12.7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39"/>
      <c r="U32" s="239"/>
      <c r="V32" s="239"/>
    </row>
    <row r="33" spans="1:22" ht="12.75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39"/>
      <c r="U33" s="239"/>
      <c r="V33" s="239"/>
    </row>
    <row r="34" spans="1:22" ht="12.7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39"/>
      <c r="U34" s="239"/>
      <c r="V34" s="239"/>
    </row>
    <row r="35" spans="1:22" ht="12.75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39"/>
      <c r="U35" s="239"/>
      <c r="V35" s="239"/>
    </row>
    <row r="36" spans="1:22" ht="12.75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39"/>
      <c r="U36" s="239"/>
      <c r="V36" s="239"/>
    </row>
    <row r="37" spans="1:22" ht="12.75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39"/>
      <c r="U37" s="239"/>
      <c r="V37" s="239"/>
    </row>
    <row r="38" spans="1:22" ht="12.7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39"/>
      <c r="U38" s="239"/>
      <c r="V38" s="239"/>
    </row>
    <row r="39" spans="1:22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39"/>
      <c r="U39" s="239"/>
      <c r="V39" s="239"/>
    </row>
    <row r="40" spans="1:22" ht="12.75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39"/>
      <c r="U40" s="239"/>
      <c r="V40" s="239"/>
    </row>
    <row r="41" spans="1:22" ht="12.75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39"/>
      <c r="U41" s="239"/>
      <c r="V41" s="239"/>
    </row>
    <row r="42" spans="1:22" ht="12.7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39"/>
      <c r="U42" s="239"/>
      <c r="V42" s="239"/>
    </row>
    <row r="43" spans="1:22" ht="12.7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39"/>
      <c r="U43" s="239"/>
      <c r="V43" s="239"/>
    </row>
    <row r="44" spans="1:22" ht="12.7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39"/>
      <c r="U44" s="239"/>
      <c r="V44" s="239"/>
    </row>
    <row r="45" spans="1:22" ht="12.7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</row>
    <row r="46" spans="1:22" ht="12.7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</row>
    <row r="47" spans="1:22" ht="12.7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</row>
    <row r="48" spans="1:22" ht="12.7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</row>
    <row r="49" spans="1:22" ht="12.7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</row>
    <row r="50" spans="1:22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</row>
    <row r="51" spans="1:22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</row>
    <row r="52" spans="1:22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</row>
    <row r="53" spans="1:22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</row>
    <row r="55" spans="1:22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</row>
    <row r="56" spans="1:22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</row>
    <row r="57" spans="1:22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</row>
    <row r="58" spans="1:22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</row>
    <row r="59" spans="1:22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</row>
    <row r="60" spans="1:22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</row>
    <row r="61" spans="1:22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</row>
    <row r="62" spans="1:22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</row>
    <row r="63" spans="1:22" ht="12.7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</row>
    <row r="64" spans="1:22" ht="12.75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</row>
    <row r="65" spans="1:22" ht="12.75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</row>
    <row r="66" spans="1:22" ht="12.75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</row>
    <row r="71" ht="13.5" thickBot="1"/>
    <row r="72" spans="8:12" ht="16.5" thickBot="1">
      <c r="H72" s="336">
        <f>+franklin!J8</f>
        <v>0</v>
      </c>
      <c r="I72" s="18" t="s">
        <v>159</v>
      </c>
      <c r="J72" s="19"/>
      <c r="K72" s="19"/>
      <c r="L72" s="20"/>
    </row>
    <row r="73" ht="12.75" customHeight="1">
      <c r="E73" s="440" t="s">
        <v>121</v>
      </c>
    </row>
    <row r="74" spans="5:11" ht="16.5" thickBot="1">
      <c r="E74" s="441"/>
      <c r="F74" s="278" t="s">
        <v>130</v>
      </c>
      <c r="G74" s="281">
        <v>20</v>
      </c>
      <c r="H74" s="281">
        <v>30</v>
      </c>
      <c r="I74" s="281">
        <v>45</v>
      </c>
      <c r="J74" s="281">
        <v>60</v>
      </c>
      <c r="K74" s="288"/>
    </row>
    <row r="75" spans="4:12" ht="16.5" thickBot="1">
      <c r="D75">
        <f>IF(F75=$F$8,G74,"")</f>
      </c>
      <c r="E75" s="274" t="s">
        <v>122</v>
      </c>
      <c r="F75" s="163" t="s">
        <v>77</v>
      </c>
      <c r="G75" s="276">
        <v>25</v>
      </c>
      <c r="H75" s="275" t="s">
        <v>133</v>
      </c>
      <c r="I75" s="275" t="s">
        <v>133</v>
      </c>
      <c r="J75" s="275" t="s">
        <v>133</v>
      </c>
      <c r="K75" s="287">
        <f>IF(H72&lt;=G74,G75,IF(H72&lt;=H74,H75,IF(H72&lt;=I74,I75,IF(H72&lt;=J74,J75,""))))</f>
        <v>25</v>
      </c>
      <c r="L75" s="2">
        <f>IF(K75="*",I72,"")</f>
      </c>
    </row>
    <row r="76" spans="4:12" ht="16.5" thickBot="1">
      <c r="D76">
        <f>IF(F76=$F$8,G74,"")</f>
      </c>
      <c r="E76" s="274" t="s">
        <v>122</v>
      </c>
      <c r="F76" s="164" t="s">
        <v>87</v>
      </c>
      <c r="G76" s="276">
        <v>25</v>
      </c>
      <c r="H76" s="275" t="s">
        <v>133</v>
      </c>
      <c r="I76" s="275" t="s">
        <v>133</v>
      </c>
      <c r="J76" s="275" t="s">
        <v>133</v>
      </c>
      <c r="K76" s="287">
        <f>IF(H72&lt;=G74,G75,IF(H72&lt;=H74,H75,IF(H72&lt;=I74,I75,IF(H72&lt;=J74,J75,""))))</f>
        <v>25</v>
      </c>
      <c r="L76" s="2">
        <f>IF(K76="*",I72,"")</f>
      </c>
    </row>
    <row r="77" spans="4:12" ht="16.5" thickBot="1">
      <c r="D77">
        <f>IF(F77=$F$8,H74,"")</f>
      </c>
      <c r="E77" s="274" t="s">
        <v>123</v>
      </c>
      <c r="F77" s="163" t="s">
        <v>75</v>
      </c>
      <c r="G77" s="276">
        <v>35</v>
      </c>
      <c r="H77" s="276">
        <v>25</v>
      </c>
      <c r="I77" s="275" t="s">
        <v>133</v>
      </c>
      <c r="J77" s="275" t="s">
        <v>133</v>
      </c>
      <c r="K77" s="287">
        <f>IF(H72&lt;=G74,G77,IF(H72&lt;=H74,H77,IF(H72&lt;=I74,I77,IF(H72&lt;=J74,J77,""))))</f>
        <v>35</v>
      </c>
      <c r="L77" s="2">
        <f>IF(K77="*",I72,"")</f>
      </c>
    </row>
    <row r="78" spans="4:12" ht="16.5" thickBot="1">
      <c r="D78">
        <f>IF(F78=$F$8,I74,"")</f>
      </c>
      <c r="E78" s="274" t="s">
        <v>124</v>
      </c>
      <c r="F78" s="165" t="s">
        <v>76</v>
      </c>
      <c r="G78" s="276">
        <v>45</v>
      </c>
      <c r="H78" s="276">
        <v>35</v>
      </c>
      <c r="I78" s="276">
        <v>25</v>
      </c>
      <c r="J78" s="275" t="s">
        <v>133</v>
      </c>
      <c r="K78" s="287">
        <f>IF(H72&lt;=G74,G78,IF(H72&lt;=H74,H78,IF(H72&lt;=I74,I78,IF(H72&lt;=J74,J78,""))))</f>
        <v>45</v>
      </c>
      <c r="L78" s="2">
        <f>IF(K78="*",I72,"")</f>
      </c>
    </row>
    <row r="79" spans="4:12" ht="16.5" thickBot="1">
      <c r="D79">
        <f>IF(F79=$F$8,J74,"")</f>
      </c>
      <c r="E79" s="274" t="s">
        <v>125</v>
      </c>
      <c r="F79" s="165" t="s">
        <v>117</v>
      </c>
      <c r="G79" s="276">
        <v>55</v>
      </c>
      <c r="H79" s="276">
        <v>45</v>
      </c>
      <c r="I79" s="276">
        <v>35</v>
      </c>
      <c r="J79" s="276">
        <v>25</v>
      </c>
      <c r="K79" s="287">
        <f>IF(H72&lt;=G74,G79,IF(H72&lt;=H74,H79,IF(H72&lt;=I74,I79,IF(H72&lt;=J74,J79,"*"))))</f>
        <v>55</v>
      </c>
      <c r="L79" s="2">
        <f>IF(K79="*",I72,"")</f>
      </c>
    </row>
    <row r="80" ht="12.75">
      <c r="D80">
        <f>SUM(D75:D79)</f>
        <v>0</v>
      </c>
    </row>
  </sheetData>
  <sheetProtection password="CF7A" sheet="1" objects="1" scenarios="1"/>
  <mergeCells count="9">
    <mergeCell ref="E73:E74"/>
    <mergeCell ref="E17:E18"/>
    <mergeCell ref="F8:I8"/>
    <mergeCell ref="F2:I2"/>
    <mergeCell ref="E15:J15"/>
    <mergeCell ref="G11:I11"/>
    <mergeCell ref="G12:I12"/>
    <mergeCell ref="E10:I10"/>
    <mergeCell ref="E4:J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AI134"/>
  <sheetViews>
    <sheetView showGridLines="0" showRowColHeaders="0" zoomScale="71" zoomScaleNormal="71" workbookViewId="0" topLeftCell="A1">
      <selection activeCell="I7" sqref="I7"/>
    </sheetView>
  </sheetViews>
  <sheetFormatPr defaultColWidth="9.140625" defaultRowHeight="12.75"/>
  <cols>
    <col min="1" max="1" width="15.7109375" style="32" customWidth="1"/>
    <col min="2" max="3" width="9.140625" style="32" customWidth="1"/>
    <col min="4" max="4" width="9.28125" style="32" bestFit="1" customWidth="1"/>
    <col min="5" max="6" width="15.7109375" style="32" customWidth="1"/>
    <col min="7" max="7" width="9.28125" style="32" customWidth="1"/>
    <col min="8" max="9" width="15.7109375" style="32" customWidth="1"/>
    <col min="10" max="11" width="9.140625" style="32" customWidth="1"/>
    <col min="12" max="12" width="6.8515625" style="32" customWidth="1"/>
    <col min="13" max="18" width="9.140625" style="32" customWidth="1"/>
    <col min="19" max="19" width="60.421875" style="32" customWidth="1"/>
    <col min="20" max="21" width="9.140625" style="32" customWidth="1"/>
    <col min="22" max="22" width="6.8515625" style="32" customWidth="1"/>
    <col min="23" max="23" width="13.140625" style="32" customWidth="1"/>
    <col min="24" max="24" width="27.421875" style="32" customWidth="1"/>
    <col min="25" max="25" width="3.00390625" style="32" customWidth="1"/>
    <col min="26" max="26" width="2.57421875" style="32" customWidth="1"/>
    <col min="27" max="27" width="9.57421875" style="32" customWidth="1"/>
    <col min="28" max="28" width="5.28125" style="32" customWidth="1"/>
    <col min="29" max="29" width="26.421875" style="32" customWidth="1"/>
    <col min="30" max="30" width="10.57421875" style="32" customWidth="1"/>
    <col min="31" max="31" width="11.28125" style="32" customWidth="1"/>
    <col min="32" max="32" width="23.140625" style="32" customWidth="1"/>
    <col min="33" max="33" width="11.28125" style="32" customWidth="1"/>
    <col min="34" max="34" width="8.140625" style="32" customWidth="1"/>
    <col min="35" max="35" width="10.57421875" style="32" customWidth="1"/>
    <col min="36" max="16384" width="9.140625" style="32" customWidth="1"/>
  </cols>
  <sheetData>
    <row r="1" spans="22:26" ht="13.5" thickBot="1">
      <c r="V1" s="33"/>
      <c r="W1" s="33"/>
      <c r="X1" s="33"/>
      <c r="Y1" s="33"/>
      <c r="Z1" s="33"/>
    </row>
    <row r="2" spans="6:26" ht="24.75" thickBot="1" thickTop="1">
      <c r="F2" s="454" t="s">
        <v>150</v>
      </c>
      <c r="G2" s="455"/>
      <c r="H2" s="456"/>
      <c r="V2" s="33"/>
      <c r="W2" s="33"/>
      <c r="X2" s="33"/>
      <c r="Y2" s="33"/>
      <c r="Z2" s="33"/>
    </row>
    <row r="3" spans="22:26" ht="13.5" thickTop="1">
      <c r="V3" s="33"/>
      <c r="Z3" s="33"/>
    </row>
    <row r="4" spans="22:26" ht="13.5" thickBot="1">
      <c r="V4" s="33"/>
      <c r="Z4" s="33"/>
    </row>
    <row r="5" spans="1:29" ht="18.75" thickBot="1">
      <c r="A5" s="34"/>
      <c r="V5" s="33"/>
      <c r="AB5" s="42" t="s">
        <v>88</v>
      </c>
      <c r="AC5" s="166">
        <f>Formüller!H14</f>
      </c>
    </row>
    <row r="6" spans="1:29" ht="22.5" customHeight="1">
      <c r="A6" s="34"/>
      <c r="C6" s="457" t="str">
        <f>+AC25</f>
        <v>GİRİŞ İŞLEMİNİZ EKSİK VEYA TAMAMLANMAMIŞTIR</v>
      </c>
      <c r="D6" s="457"/>
      <c r="E6" s="457"/>
      <c r="F6" s="457"/>
      <c r="G6" s="457"/>
      <c r="H6" s="457"/>
      <c r="I6" s="457"/>
      <c r="J6" s="457"/>
      <c r="K6" s="457"/>
      <c r="V6" s="33"/>
      <c r="Y6" s="33"/>
      <c r="Z6" s="33"/>
      <c r="AC6" s="32" t="s">
        <v>155</v>
      </c>
    </row>
    <row r="7" spans="1:22" ht="19.5" customHeight="1">
      <c r="A7" s="34"/>
      <c r="C7" s="34"/>
      <c r="D7" s="34"/>
      <c r="E7" s="34"/>
      <c r="V7" s="33"/>
    </row>
    <row r="8" spans="1:26" ht="19.5" customHeight="1" thickBot="1">
      <c r="A8" s="34"/>
      <c r="D8" s="34"/>
      <c r="E8" s="457">
        <f>+AC26</f>
      </c>
      <c r="F8" s="457"/>
      <c r="G8" s="457"/>
      <c r="H8" s="457"/>
      <c r="I8" s="457"/>
      <c r="V8" s="33"/>
      <c r="W8" s="33"/>
      <c r="X8" s="33"/>
      <c r="Y8" s="33"/>
      <c r="Z8" s="33"/>
    </row>
    <row r="9" spans="1:30" ht="19.5" customHeight="1" thickBot="1">
      <c r="A9" s="34"/>
      <c r="C9" s="34"/>
      <c r="D9" s="34"/>
      <c r="E9" s="34"/>
      <c r="V9" s="33"/>
      <c r="W9" s="33"/>
      <c r="X9" s="292" t="s">
        <v>139</v>
      </c>
      <c r="Y9" s="290"/>
      <c r="Z9" s="290"/>
      <c r="AA9" s="290"/>
      <c r="AB9" s="291"/>
      <c r="AD9" s="35"/>
    </row>
    <row r="10" spans="1:30" ht="19.5" customHeight="1" thickBot="1">
      <c r="A10" s="34"/>
      <c r="B10" s="34"/>
      <c r="C10" s="34"/>
      <c r="D10" s="34"/>
      <c r="E10" s="457">
        <f>+AC28</f>
      </c>
      <c r="F10" s="457"/>
      <c r="G10" s="457"/>
      <c r="H10" s="457"/>
      <c r="I10" s="457"/>
      <c r="V10" s="33"/>
      <c r="W10" s="33"/>
      <c r="X10" s="36"/>
      <c r="Y10" s="33"/>
      <c r="Z10" s="33"/>
      <c r="AC10" s="34"/>
      <c r="AD10" s="34"/>
    </row>
    <row r="11" spans="1:29" ht="19.5" customHeight="1" thickBot="1">
      <c r="A11" s="34"/>
      <c r="B11" s="34"/>
      <c r="S11" s="32" t="str">
        <f>+IF(W11=0,X23,AC11)</f>
        <v>En uygun Paratoner  :  ( SE 6 ) Paratoneri ~~~~~~ Direk boyu 2 mt </v>
      </c>
      <c r="T11" s="34" t="str">
        <f>+Level1!B47</f>
        <v>LEVEL 1 'deki kriterlere göre 1 paratoner ile korunabilen max mesafe 79 mt dir</v>
      </c>
      <c r="W11" s="38">
        <f>+Level1!H69</f>
        <v>11</v>
      </c>
      <c r="X11" s="92">
        <f>IF(AC5="","",IF(AC5&gt;0.98,+X25,""))</f>
      </c>
      <c r="Y11" s="81"/>
      <c r="Z11" s="39"/>
      <c r="AA11" s="38">
        <f>+IF(AB11=X25,1,2)</f>
        <v>2</v>
      </c>
      <c r="AB11" s="91">
        <f>+X11</f>
      </c>
      <c r="AC11" s="32" t="str">
        <f>+Level1!B48</f>
        <v>En uygun Paratoner  :  ( SE 6 ) Paratoneri ~~~~~~ Direk boyu 2 mt </v>
      </c>
    </row>
    <row r="12" spans="1:29" ht="19.5" customHeight="1" thickBot="1">
      <c r="A12" s="34"/>
      <c r="B12" s="34"/>
      <c r="S12" s="32" t="str">
        <f>+IF(W11=0,"",AC12)</f>
        <v>Paratonerin Max koruması  13 mt. dir</v>
      </c>
      <c r="T12" s="34"/>
      <c r="X12" s="36"/>
      <c r="Y12" s="33"/>
      <c r="Z12" s="33"/>
      <c r="AA12" s="34"/>
      <c r="AC12" s="32" t="str">
        <f>+Level1!B49</f>
        <v>Paratonerin Max koruması  13 mt. dir</v>
      </c>
    </row>
    <row r="13" spans="2:29" ht="19.5" customHeight="1" thickBot="1">
      <c r="B13" s="34"/>
      <c r="F13" s="452">
        <f>+X36</f>
      </c>
      <c r="G13" s="452"/>
      <c r="H13" s="452"/>
      <c r="S13" s="32" t="str">
        <f>+IF(W13=0,X23,AC13)</f>
        <v>En uygun Paratoner  :  ( SE 6 ) Paratoneri ~~~~~~ Direk boyu 2 mt </v>
      </c>
      <c r="T13" s="34" t="str">
        <f>+Level1!B47</f>
        <v>LEVEL 1 'deki kriterlere göre 1 paratoner ile korunabilen max mesafe 79 mt dir</v>
      </c>
      <c r="W13" s="38">
        <f>+Level1!H69</f>
        <v>11</v>
      </c>
      <c r="X13" s="92">
        <f>IF(AND($AC$5&gt;0.95,$AC$5&lt;=0.98),+X26,"")</f>
      </c>
      <c r="Y13" s="81"/>
      <c r="Z13" s="39"/>
      <c r="AA13" s="38">
        <f>+IF(AB13=X26,1,2)</f>
        <v>2</v>
      </c>
      <c r="AB13" s="91">
        <f>+X13</f>
      </c>
      <c r="AC13" s="32" t="str">
        <f>+Level1!B48</f>
        <v>En uygun Paratoner  :  ( SE 6 ) Paratoneri ~~~~~~ Direk boyu 2 mt </v>
      </c>
    </row>
    <row r="14" spans="2:29" ht="19.5" customHeight="1" thickBot="1">
      <c r="B14" s="34"/>
      <c r="S14" s="32" t="str">
        <f>+IF(W13=0,"",AC14)</f>
        <v>Paratonerin Max koruması  13 mt. dir</v>
      </c>
      <c r="T14" s="34"/>
      <c r="X14" s="37"/>
      <c r="Y14" s="34"/>
      <c r="Z14" s="34"/>
      <c r="AA14" s="34"/>
      <c r="AC14" s="32" t="str">
        <f>+Level1!B49</f>
        <v>Paratonerin Max koruması  13 mt. dir</v>
      </c>
    </row>
    <row r="15" spans="2:29" ht="22.5" customHeight="1" thickBot="1">
      <c r="B15" s="34"/>
      <c r="F15" s="167" t="s">
        <v>84</v>
      </c>
      <c r="G15" s="453">
        <f>+AC5</f>
      </c>
      <c r="H15" s="453"/>
      <c r="S15" s="32" t="str">
        <f>+IF(W15=0,X23,AC15)</f>
        <v>En uygun Paratoner  :  ( SE 6 ) Paratoneri ~~~~~~ Direk boyu 2 mt </v>
      </c>
      <c r="T15" s="34" t="str">
        <f>+Level2!B47</f>
        <v>LEVEL 2 'deki kriterlere göre 1 paratoner ile korunabilen max mesafe 99 mt dir</v>
      </c>
      <c r="W15" s="38">
        <f>+Level2!H69</f>
        <v>11</v>
      </c>
      <c r="X15" s="92">
        <f>IF(AND($AC$5&gt;0.9,$AC$5&lt;=0.95),+X27,"")</f>
      </c>
      <c r="Y15" s="81"/>
      <c r="Z15" s="39"/>
      <c r="AA15" s="38">
        <f>+IF(AB15=X27,1,2)</f>
        <v>2</v>
      </c>
      <c r="AB15" s="91">
        <f>+X15</f>
      </c>
      <c r="AC15" s="32" t="str">
        <f>+Level2!B48</f>
        <v>En uygun Paratoner  :  ( SE 6 ) Paratoneri ~~~~~~ Direk boyu 2 mt </v>
      </c>
    </row>
    <row r="16" spans="2:29" ht="19.5" customHeight="1" thickBot="1">
      <c r="B16" s="34"/>
      <c r="C16" s="34"/>
      <c r="D16" s="34"/>
      <c r="E16" s="34"/>
      <c r="S16" s="32" t="str">
        <f>+IF(W15=0,"",AC16)</f>
        <v>Paratonerin Max koruması  18 mt. dir</v>
      </c>
      <c r="T16" s="34"/>
      <c r="X16" s="37"/>
      <c r="Y16" s="34"/>
      <c r="Z16" s="34"/>
      <c r="AA16" s="34"/>
      <c r="AC16" s="32" t="str">
        <f>+Level2!B49</f>
        <v>Paratonerin Max koruması  18 mt. dir</v>
      </c>
    </row>
    <row r="17" spans="19:29" ht="15.75" thickBot="1">
      <c r="S17" s="32" t="str">
        <f>+IF(W17=0,X23,AC17)</f>
        <v>En uygun Paratoner  :  ( SE 6 ) Paratoneri ~~~~~~ Direk boyu 2 mt </v>
      </c>
      <c r="T17" s="34" t="str">
        <f>+Level3!B47</f>
        <v>LEVEL 3 'deki kriterlere göre 1 paratoner ile korunabilen max mesafe 99 mt dir</v>
      </c>
      <c r="W17" s="38">
        <f>+Level3!H69</f>
        <v>11</v>
      </c>
      <c r="X17" s="92">
        <f>IF(AND($AC$5&gt;0.8,$AC$5&lt;=0.9),+X28,"")</f>
      </c>
      <c r="Y17" s="81"/>
      <c r="Z17" s="39"/>
      <c r="AA17" s="38">
        <f>+IF(AB17=X28,1,2)</f>
        <v>2</v>
      </c>
      <c r="AB17" s="91">
        <f>+X17</f>
      </c>
      <c r="AC17" s="32" t="str">
        <f>+Level3!B48</f>
        <v>En uygun Paratoner  :  ( SE 6 ) Paratoneri ~~~~~~ Direk boyu 2 mt </v>
      </c>
    </row>
    <row r="18" spans="19:29" ht="15.75" thickBot="1">
      <c r="S18" s="32" t="str">
        <f>+IF(W17=0,"",AC18)</f>
        <v>Paratonerin Max koruması  18 mt. dir</v>
      </c>
      <c r="T18" s="34"/>
      <c r="W18" s="34"/>
      <c r="X18" s="37"/>
      <c r="Y18" s="227"/>
      <c r="Z18" s="34"/>
      <c r="AA18" s="34"/>
      <c r="AB18" s="228"/>
      <c r="AC18" s="32" t="str">
        <f>+Level3!B49</f>
        <v>Paratonerin Max koruması  18 mt. dir</v>
      </c>
    </row>
    <row r="19" spans="19:29" ht="15.75" thickBot="1">
      <c r="S19" s="32" t="str">
        <f>+IF(W19=0,X23,AC19)</f>
        <v>En uygun Paratoner  :  ( SE 6 ) Paratoneri ~~~~~~ Direk boyu 2 mt </v>
      </c>
      <c r="T19" s="34" t="str">
        <f>+Level4!B47</f>
        <v>LEVEL 4 'deki kriterlere göre 1 paratoner ile korunabilen max mesafe 109 mt dir</v>
      </c>
      <c r="W19" s="38">
        <f>+Level4!H69</f>
        <v>11</v>
      </c>
      <c r="X19" s="92">
        <f>IF(AND($AC$5&gt;0,$AC$5&lt;=0.8),+X29,"")</f>
      </c>
      <c r="Y19" s="81"/>
      <c r="Z19" s="39"/>
      <c r="AA19" s="38">
        <f>+IF(AB19=X29,1,2)</f>
        <v>2</v>
      </c>
      <c r="AB19" s="91">
        <f>+X19</f>
      </c>
      <c r="AC19" s="32" t="str">
        <f>+Level4!B48</f>
        <v>En uygun Paratoner  :  ( SE 6 ) Paratoneri ~~~~~~ Direk boyu 2 mt </v>
      </c>
    </row>
    <row r="20" spans="19:30" ht="12.75">
      <c r="S20" s="32" t="str">
        <f>+IF(W19=0,"",AC20)</f>
        <v>Paratonerin Max koruması  20 mt. dir</v>
      </c>
      <c r="AA20" s="38">
        <f>MIN(AA11:AA19)</f>
        <v>2</v>
      </c>
      <c r="AC20" s="32" t="str">
        <f>+Level4!B49</f>
        <v>Paratonerin Max koruması  20 mt. dir</v>
      </c>
      <c r="AD20" s="34"/>
    </row>
    <row r="21" spans="24:30" ht="12.75">
      <c r="X21" s="32">
        <f>X11&amp;X13&amp;X15&amp;X17&amp;X19</f>
      </c>
      <c r="AC21" s="34"/>
      <c r="AD21" s="34"/>
    </row>
    <row r="22" ht="13.5" thickBot="1"/>
    <row r="23" spans="24:29" ht="13.5" thickBot="1">
      <c r="X23" s="95" t="s">
        <v>86</v>
      </c>
      <c r="Y23" s="93"/>
      <c r="Z23" s="93"/>
      <c r="AA23" s="93"/>
      <c r="AB23" s="93"/>
      <c r="AC23" s="94"/>
    </row>
    <row r="24" ht="13.5" thickBot="1"/>
    <row r="25" spans="24:35" ht="18.75" thickBot="1">
      <c r="X25" s="163" t="s">
        <v>77</v>
      </c>
      <c r="AC25" s="283" t="str">
        <f>IF(G15&lt;0,X9,IF(OR(Formüller!K22=0,ANASAYFA!H11=0),"GİRİŞ İŞLEMİNİZ EKSİK VEYA TAMAMLANMAMIŞTIR",+IF(AA11=AA20,S11,+IF(AA13=AA20,S13,+IF(AA15=AA20,S15,+IF(AA17=AA20,S17,+IF(AA19=AA20,S19,"GİRİŞ İŞLEMİNİZ EKSİK VEYA TAMAMLANMAMIŞTIR")))))))</f>
        <v>GİRİŞ İŞLEMİNİZ EKSİK VEYA TAMAMLANMAMIŞTIR</v>
      </c>
      <c r="AD25" s="272"/>
      <c r="AE25" s="272"/>
      <c r="AF25" s="272"/>
      <c r="AG25" s="272"/>
      <c r="AH25" s="272"/>
      <c r="AI25" s="272"/>
    </row>
    <row r="26" spans="24:35" ht="18.75" thickBot="1">
      <c r="X26" s="164" t="s">
        <v>87</v>
      </c>
      <c r="AC26" s="283">
        <f>IF(G15&lt;0,"",IF(OR(Formüller!K22=0,ANASAYFA!H11=0),"",+IF(AA11=AA20,S12,+IF(AA13=AA20,S14,+IF(AA15=AA20,S16,+IF(AA17=AA20,S18,+IF(AA19=AA20,S20,"GİRİŞ İŞLEMİNİZ EKSİK VEYA TAMAMLANMAMIŞTIR")))))))</f>
      </c>
      <c r="AD26" s="272"/>
      <c r="AE26" s="272"/>
      <c r="AF26" s="272"/>
      <c r="AG26" s="272"/>
      <c r="AH26" s="272"/>
      <c r="AI26" s="272"/>
    </row>
    <row r="27" spans="24:35" ht="18.75" thickBot="1">
      <c r="X27" s="163" t="s">
        <v>75</v>
      </c>
      <c r="AC27" s="283">
        <f>IF(G15&lt;0,"",IF(OR(Formüller!K22=0,ANASAYFA!H11=0),"",+IF(AA11=AA20,T11,+IF(AA13=AA20,T13,+IF(AA15=AA20,T15,+IF(AA17=AA20,T17,+IF(AA19=AA20,T19,"GİRİŞ İŞLEMİNİZ EKSİK VEYA TAMAMLANMAMIŞTIR")))))))</f>
      </c>
      <c r="AD27" s="272"/>
      <c r="AE27" s="272"/>
      <c r="AF27" s="272"/>
      <c r="AG27" s="272"/>
      <c r="AH27" s="272"/>
      <c r="AI27" s="272"/>
    </row>
    <row r="28" spans="24:33" ht="18.75" thickBot="1">
      <c r="X28" s="165" t="s">
        <v>76</v>
      </c>
      <c r="AC28" s="283">
        <f>IF(E8="","","İstenilen koruma mesafesi  "&amp;+koruma!J13&amp;" mt. dir")</f>
      </c>
      <c r="AD28" s="272"/>
      <c r="AE28" s="272"/>
      <c r="AF28" s="272"/>
      <c r="AG28" s="272"/>
    </row>
    <row r="29" spans="24:31" ht="13.5" thickBot="1">
      <c r="X29" s="165" t="s">
        <v>117</v>
      </c>
      <c r="AD29" s="34"/>
      <c r="AE29" s="34"/>
    </row>
    <row r="30" spans="24:27" ht="12.75">
      <c r="X30" s="207">
        <f>IF(ANASAYFA!H11=0,"",X11)</f>
      </c>
      <c r="Y30" s="206"/>
      <c r="Z30" s="206"/>
      <c r="AA30" s="206"/>
    </row>
    <row r="31" spans="24:27" ht="12.75">
      <c r="X31" s="208">
        <f>IF(ANASAYFA!H11=0,"",X13)</f>
      </c>
      <c r="Y31" s="206"/>
      <c r="Z31" s="206"/>
      <c r="AA31" s="206"/>
    </row>
    <row r="32" spans="24:27" ht="12.75">
      <c r="X32" s="208">
        <f>IF(ANASAYFA!H11=0,"",X15)</f>
      </c>
      <c r="Y32" s="206"/>
      <c r="Z32" s="206"/>
      <c r="AA32" s="206"/>
    </row>
    <row r="33" spans="24:27" ht="12.75">
      <c r="X33" s="208">
        <f>IF(ANASAYFA!H11=0,"",X17)</f>
      </c>
      <c r="Y33" s="206"/>
      <c r="Z33" s="206"/>
      <c r="AA33" s="206"/>
    </row>
    <row r="34" ht="13.5" thickBot="1">
      <c r="X34" s="209">
        <f>IF(ANASAYFA!H11=0,"",X19)</f>
      </c>
    </row>
    <row r="35" ht="13.5" thickBot="1">
      <c r="X35" s="229">
        <f>X30&amp;X31&amp;X32&amp;X33&amp;X34</f>
      </c>
    </row>
    <row r="36" ht="13.5" thickBot="1">
      <c r="X36" s="229">
        <f>IF(AC25="GİRİŞ İŞLEMİNİZ EKSİK VEYA TAMAMLANMAMIŞTIR","",IF(G15&lt;=0,"YILDIRIM RİSKİ YOKTUR",X35))</f>
      </c>
    </row>
    <row r="129" ht="12.75">
      <c r="AH129" s="40"/>
    </row>
    <row r="134" ht="12.75">
      <c r="AE134" s="41"/>
    </row>
  </sheetData>
  <sheetProtection password="CF7A" sheet="1" objects="1" scenarios="1"/>
  <mergeCells count="6">
    <mergeCell ref="F13:H13"/>
    <mergeCell ref="G15:H15"/>
    <mergeCell ref="F2:H2"/>
    <mergeCell ref="C6:K6"/>
    <mergeCell ref="E8:I8"/>
    <mergeCell ref="E10:I10"/>
  </mergeCells>
  <conditionalFormatting sqref="AB11">
    <cfRule type="cellIs" priority="1" dxfId="1" operator="equal" stopIfTrue="1">
      <formula>$X$25</formula>
    </cfRule>
  </conditionalFormatting>
  <conditionalFormatting sqref="AB13">
    <cfRule type="cellIs" priority="2" dxfId="1" operator="equal" stopIfTrue="1">
      <formula>$X$26</formula>
    </cfRule>
  </conditionalFormatting>
  <conditionalFormatting sqref="AB17:AB19">
    <cfRule type="cellIs" priority="3" dxfId="1" operator="equal" stopIfTrue="1">
      <formula>$X$28</formula>
    </cfRule>
  </conditionalFormatting>
  <conditionalFormatting sqref="AB15">
    <cfRule type="cellIs" priority="4" dxfId="1" operator="equal" stopIfTrue="1">
      <formula>$X$27</formula>
    </cfRule>
  </conditionalFormatting>
  <conditionalFormatting sqref="I13:L13">
    <cfRule type="cellIs" priority="5" dxfId="2" operator="notEqual" stopIfTrue="1">
      <formula>$F$13</formula>
    </cfRule>
  </conditionalFormatting>
  <conditionalFormatting sqref="L23">
    <cfRule type="cellIs" priority="6" dxfId="3" operator="notEqual" stopIfTrue="1">
      <formula>$F$13</formula>
    </cfRule>
  </conditionalFormatting>
  <conditionalFormatting sqref="L14:L22 K18:K26">
    <cfRule type="cellIs" priority="7" dxfId="4" operator="notEqual" stopIfTrue="1">
      <formula>$F$13</formula>
    </cfRule>
  </conditionalFormatting>
  <dataValidations count="1">
    <dataValidation allowBlank="1" showInputMessage="1" showErrorMessage="1" promptTitle="DİKKAT" prompt="FARKLI PARATONER SEÇİMİ YAPACAKSANIZ LÜTFEN SEÇİLEN LEVEL DEĞERİNE GÖRE AŞAĞIDAKİ KIRMIZI LEVEL BUTONLARINDAN UYGUN OLANINA BASINIZ" sqref="I7"/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X80"/>
  <sheetViews>
    <sheetView showRowColHeaders="0" workbookViewId="0" topLeftCell="A1">
      <selection activeCell="B1" sqref="B1"/>
    </sheetView>
  </sheetViews>
  <sheetFormatPr defaultColWidth="9.140625" defaultRowHeight="12.75"/>
  <cols>
    <col min="1" max="1" width="20.7109375" style="32" customWidth="1"/>
    <col min="2" max="2" width="74.421875" style="32" bestFit="1" customWidth="1"/>
    <col min="3" max="4" width="13.8515625" style="32" bestFit="1" customWidth="1"/>
    <col min="5" max="5" width="20.140625" style="32" bestFit="1" customWidth="1"/>
    <col min="6" max="6" width="15.28125" style="32" bestFit="1" customWidth="1"/>
    <col min="7" max="7" width="12.57421875" style="32" customWidth="1"/>
    <col min="8" max="9" width="8.8515625" style="32" customWidth="1"/>
    <col min="10" max="16384" width="9.140625" style="32" customWidth="1"/>
  </cols>
  <sheetData>
    <row r="1" spans="1:14" ht="19.5" thickBot="1">
      <c r="A1" s="238"/>
      <c r="B1" s="234" t="s">
        <v>77</v>
      </c>
      <c r="C1" s="210"/>
      <c r="D1" s="210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10"/>
      <c r="B2" s="231"/>
      <c r="C2" s="210"/>
      <c r="D2" s="210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10"/>
      <c r="B3" s="231"/>
      <c r="C3" s="210"/>
      <c r="D3" s="210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10"/>
      <c r="B4" s="231"/>
      <c r="C4" s="210"/>
      <c r="D4" s="210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10"/>
      <c r="B5" s="231"/>
      <c r="C5" s="210"/>
      <c r="D5" s="210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10"/>
      <c r="B6" s="231"/>
      <c r="C6" s="210"/>
      <c r="D6" s="210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10"/>
      <c r="B7" s="231"/>
      <c r="C7" s="210"/>
      <c r="D7" s="210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thickBot="1">
      <c r="A8" s="210"/>
      <c r="B8" s="231"/>
      <c r="C8" s="210"/>
      <c r="D8" s="210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9.5" thickBot="1">
      <c r="A9" s="210"/>
      <c r="B9" s="235" t="str">
        <f>IF(B1=SONUÇ!X21,"","DİKKAT YANLIŞ LEVEL SAYFASINDASINIZ !!!")</f>
        <v>DİKKAT YANLIŞ LEVEL SAYFASINDASINIZ !!!</v>
      </c>
      <c r="C9" s="210"/>
      <c r="D9" s="210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3.5" thickBot="1">
      <c r="A10" s="210"/>
      <c r="B10" s="236"/>
      <c r="C10" s="210"/>
      <c r="D10" s="210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3.5" thickBot="1">
      <c r="A11" s="210"/>
      <c r="B11" s="237">
        <f>IF(B1=SONUÇ!X21,"Aşağıdaki paratonerleri ekonomik olmamakla birlikte zorunlu ise seçebilirsiniz","")</f>
      </c>
      <c r="C11" s="210"/>
      <c r="D11" s="210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3.5" thickBot="1">
      <c r="A12" s="210"/>
      <c r="B12" s="230">
        <f>IF(+G52="","",IF(H52=H69,"",IF(B1=SONUÇ!X21,+B50&amp;"  mt'lik direk"&amp;" üzerine ("&amp;+G52&amp;") paratoneri. ( Max. Koruma : "&amp;+I52&amp;" mt )","")))</f>
      </c>
      <c r="C12" s="210"/>
      <c r="D12" s="210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210"/>
      <c r="B13" s="230">
        <f>IF(+G56="","",IF(H56=H69,"",IF(B1=SONUÇ!X21,+B54&amp;"  mt'lik direk"&amp;" üzerine ("&amp;+G56&amp;") paratoneri. ( Max. Koruma : "&amp;+I56&amp;" mt )","")))</f>
      </c>
      <c r="C13" s="210"/>
      <c r="D13" s="210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3.5" thickBot="1">
      <c r="A14" s="210"/>
      <c r="B14" s="230">
        <f>IF(+G60="","",IF(H60=H69,"",IF(B1=SONUÇ!X21,+B58&amp;" mt'lik direk"&amp;" üzerine ("&amp;+G60&amp;") paratoneri. ( Max. Koruma : "&amp;+I60&amp;" mt )","")))</f>
      </c>
      <c r="C14" s="210"/>
      <c r="D14" s="210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3.5" thickBot="1">
      <c r="A15" s="210"/>
      <c r="B15" s="230">
        <f>IF(+G64="","",IF(H64=H69,"",IF(B1=SONUÇ!X21,+B62&amp;" mt'lik direk"&amp;" üzerine ("&amp;+G64&amp;") paratoneri. ( Max. Koruma : "&amp;+I64&amp;" mt )","")))</f>
      </c>
      <c r="C15" s="210"/>
      <c r="D15" s="210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3.5" thickBot="1">
      <c r="A16" s="210"/>
      <c r="B16" s="230">
        <f>IF(+G68="","",IF(H68=H69,"",IF(B1=SONUÇ!X21,+B66&amp;" mt'lik direk"&amp;" üzerine ("&amp;+G68&amp;") paratoneri. ( Max. Koruma : "&amp;+I68&amp;" mt )","")))</f>
      </c>
      <c r="C16" s="210"/>
      <c r="D16" s="210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210"/>
      <c r="B17" s="231"/>
      <c r="C17" s="210"/>
      <c r="D17" s="210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210"/>
      <c r="B18" s="231"/>
      <c r="C18" s="210"/>
      <c r="D18" s="210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210"/>
      <c r="B19" s="231"/>
      <c r="C19" s="210"/>
      <c r="D19" s="210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210"/>
      <c r="B20" s="231"/>
      <c r="C20" s="210"/>
      <c r="D20" s="210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10"/>
      <c r="B21" s="231"/>
      <c r="C21" s="210"/>
      <c r="D21" s="210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75">
      <c r="A22" s="210"/>
      <c r="B22" s="231"/>
      <c r="C22" s="210"/>
      <c r="D22" s="210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10"/>
      <c r="B23" s="231"/>
      <c r="C23" s="210"/>
      <c r="D23" s="210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10"/>
      <c r="B24" s="325"/>
      <c r="C24" s="210"/>
      <c r="D24" s="210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2.75">
      <c r="A25" s="210"/>
      <c r="B25" s="325"/>
      <c r="C25" s="210"/>
      <c r="D25" s="210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10"/>
      <c r="B26" s="231"/>
      <c r="C26" s="210"/>
      <c r="D26" s="210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10"/>
      <c r="B27" s="231"/>
      <c r="C27" s="210"/>
      <c r="D27" s="210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210"/>
      <c r="B28" s="231"/>
      <c r="C28" s="210"/>
      <c r="D28" s="210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210"/>
      <c r="B29" s="231"/>
      <c r="C29" s="210"/>
      <c r="D29" s="210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210"/>
      <c r="B30" s="231"/>
      <c r="C30" s="210"/>
      <c r="D30" s="210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10"/>
      <c r="B31" s="231"/>
      <c r="C31" s="210"/>
      <c r="D31" s="210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10"/>
      <c r="B32" s="231"/>
      <c r="C32" s="210"/>
      <c r="D32" s="210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10"/>
      <c r="B33" s="231"/>
      <c r="C33" s="210"/>
      <c r="D33" s="210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10"/>
      <c r="B34" s="231"/>
      <c r="C34" s="210"/>
      <c r="D34" s="210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10"/>
      <c r="B35" s="231"/>
      <c r="C35" s="210"/>
      <c r="D35" s="210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10"/>
      <c r="B36" s="231"/>
      <c r="C36" s="210"/>
      <c r="D36" s="210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10"/>
      <c r="B37" s="231"/>
      <c r="C37" s="210"/>
      <c r="D37" s="210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210"/>
      <c r="B38" s="231"/>
      <c r="C38" s="210"/>
      <c r="D38" s="210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3.5" thickBot="1">
      <c r="A39" s="210"/>
      <c r="B39" s="231"/>
      <c r="C39" s="210"/>
      <c r="D39" s="210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10"/>
      <c r="B40" s="231"/>
      <c r="C40" s="210"/>
      <c r="D40" s="210"/>
      <c r="E40" s="87" t="s">
        <v>83</v>
      </c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3.5" thickBot="1">
      <c r="A41" s="210"/>
      <c r="B41" s="231"/>
      <c r="C41" s="210"/>
      <c r="D41" s="210"/>
      <c r="E41" s="88" t="s">
        <v>78</v>
      </c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3.5" thickBot="1">
      <c r="A42" s="28"/>
      <c r="B42" s="28"/>
      <c r="C42" s="28"/>
      <c r="D42" s="28"/>
      <c r="E42" s="88" t="s">
        <v>79</v>
      </c>
      <c r="F42" s="89">
        <f>+koruma!J13</f>
        <v>0</v>
      </c>
      <c r="G42" s="28"/>
      <c r="H42" s="28"/>
      <c r="I42" s="28"/>
      <c r="J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88" t="s">
        <v>80</v>
      </c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>
      <c r="A44" s="28"/>
      <c r="B44" s="28"/>
      <c r="C44" s="28"/>
      <c r="D44" s="28"/>
      <c r="E44" s="88" t="s">
        <v>81</v>
      </c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3.5" thickBot="1">
      <c r="A45" s="28"/>
      <c r="B45" s="28"/>
      <c r="C45" s="28"/>
      <c r="D45" s="28"/>
      <c r="E45" s="90" t="s">
        <v>82</v>
      </c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3.5" thickBo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3.5" thickBot="1">
      <c r="A47" s="28"/>
      <c r="B47" s="86" t="str">
        <f>+B1&amp;" 'deki kriterlere göre 1 paratoner ile korunabilen max mesafe "&amp;+F67&amp;" mt dir"</f>
        <v>LEVEL 1 + ÖZEL KORUMA 'deki kriterlere göre 1 paratoner ile korunabilen max mesafe 79 mt dir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3.5" thickBot="1">
      <c r="A48" s="28"/>
      <c r="B48" s="86" t="str">
        <f>"En uygun Paratoner  :  ( "&amp;+G69&amp;" ) Paratoneri ~~~~~~ Direk boyu "&amp;+F69&amp;" mt "</f>
        <v>En uygun Paratoner  :  ( SE 6 ) Paratoneri ~~~~~~ Direk boyu 2 mt 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3.5" thickBot="1">
      <c r="A49" s="28"/>
      <c r="B49" s="86" t="str">
        <f>"Paratonerin Max koruması  "&amp;+I69&amp;" mt. dir"</f>
        <v>Paratonerin Max koruması  13 mt. dir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2:9" ht="12.75">
      <c r="B50" s="32">
        <v>2</v>
      </c>
      <c r="C50" s="99" t="s">
        <v>134</v>
      </c>
      <c r="D50" s="100" t="s">
        <v>135</v>
      </c>
      <c r="E50" s="100" t="s">
        <v>136</v>
      </c>
      <c r="F50" s="101" t="s">
        <v>137</v>
      </c>
      <c r="G50" s="102"/>
      <c r="H50" s="103"/>
      <c r="I50" s="103"/>
    </row>
    <row r="51" spans="3:12" ht="12.75">
      <c r="C51" s="104">
        <v>13</v>
      </c>
      <c r="D51" s="105">
        <v>19</v>
      </c>
      <c r="E51" s="105">
        <v>25</v>
      </c>
      <c r="F51" s="106">
        <v>31</v>
      </c>
      <c r="G51" s="107"/>
      <c r="H51" s="108"/>
      <c r="I51" s="108"/>
      <c r="J51" s="32">
        <f>+D51-C51</f>
        <v>6</v>
      </c>
      <c r="K51" s="32">
        <f>+E51-D51</f>
        <v>6</v>
      </c>
      <c r="L51" s="32">
        <f>+F51-E51</f>
        <v>6</v>
      </c>
    </row>
    <row r="52" spans="3:9" ht="13.5" thickBot="1">
      <c r="C52" s="109" t="str">
        <f>+IF($F$42&lt;=C51,C50,"")</f>
        <v>SE 6</v>
      </c>
      <c r="D52" s="110">
        <f>+IF(AND($F$42&lt;=D51,$F$42&gt;C51),D50,"")</f>
      </c>
      <c r="E52" s="110">
        <f>+IF(AND($F$42&lt;=E51,$F$42&gt;D51),E50,"")</f>
      </c>
      <c r="F52" s="111">
        <f>+IF(AND($F$42&lt;=F51,$F$42&gt;E51),F50,"")</f>
      </c>
      <c r="G52" s="112" t="str">
        <f>C52&amp;D52&amp;E52&amp;F52</f>
        <v>SE 6</v>
      </c>
      <c r="H52" s="113">
        <f>IF(C50=G52,11,IF(D50=G52,21,IF(E50=G52,31,IF(F50=G52,41,""))))</f>
        <v>11</v>
      </c>
      <c r="I52" s="113">
        <f>IF(C50=G52,C51,IF(D50=G52,D51,IF(E50=G52,E51,IF(F50=G52,F51,""))))</f>
        <v>13</v>
      </c>
    </row>
    <row r="53" spans="2:9" ht="13.5" thickBot="1">
      <c r="B53" s="34"/>
      <c r="G53" s="97"/>
      <c r="H53" s="98"/>
      <c r="I53" s="98"/>
    </row>
    <row r="54" spans="2:9" ht="12.75">
      <c r="B54" s="32">
        <v>4</v>
      </c>
      <c r="C54" s="99" t="s">
        <v>134</v>
      </c>
      <c r="D54" s="100" t="s">
        <v>135</v>
      </c>
      <c r="E54" s="100" t="s">
        <v>136</v>
      </c>
      <c r="F54" s="101" t="s">
        <v>137</v>
      </c>
      <c r="G54" s="114"/>
      <c r="H54" s="115"/>
      <c r="I54" s="115"/>
    </row>
    <row r="55" spans="3:12" ht="12.75">
      <c r="C55" s="116">
        <v>25</v>
      </c>
      <c r="D55" s="117">
        <v>38</v>
      </c>
      <c r="E55" s="117">
        <v>51</v>
      </c>
      <c r="F55" s="118">
        <v>63</v>
      </c>
      <c r="G55" s="119"/>
      <c r="H55" s="120"/>
      <c r="I55" s="120"/>
      <c r="J55" s="32">
        <f>+D55-C55</f>
        <v>13</v>
      </c>
      <c r="K55" s="32">
        <f>+E55-D55</f>
        <v>13</v>
      </c>
      <c r="L55" s="32">
        <f>+F55-E55</f>
        <v>12</v>
      </c>
    </row>
    <row r="56" spans="3:9" ht="13.5" thickBot="1">
      <c r="C56" s="121" t="str">
        <f>+IF($F$42&lt;=C55,C54,"")</f>
        <v>SE 6</v>
      </c>
      <c r="D56" s="122">
        <f>+IF(AND($F$42&lt;=D55,$F$42&gt;C55),D54,"")</f>
      </c>
      <c r="E56" s="122">
        <f>+IF(AND($F$42&lt;=E55,$F$42&gt;D55),E54,"")</f>
      </c>
      <c r="F56" s="123">
        <f>+IF(AND($F$42&lt;=F55,$F$42&gt;E55),F54,"")</f>
      </c>
      <c r="G56" s="124" t="str">
        <f>C56&amp;D56&amp;E56&amp;F56</f>
        <v>SE 6</v>
      </c>
      <c r="H56" s="125">
        <f>IF(C54=G56,12,IF(D54=G56,22,IF(E54=G56,32,IF(F54=G56,42,""))))</f>
        <v>12</v>
      </c>
      <c r="I56" s="125">
        <f>IF(C54=G56,C55,IF(D54=G56,D55,IF(E54=G56,E55,IF(F54=G56,F55,""))))</f>
        <v>25</v>
      </c>
    </row>
    <row r="57" spans="7:9" ht="13.5" thickBot="1">
      <c r="G57" s="97"/>
      <c r="H57" s="98"/>
      <c r="I57" s="98"/>
    </row>
    <row r="58" spans="2:9" ht="12.75">
      <c r="B58" s="32">
        <v>6</v>
      </c>
      <c r="C58" s="99" t="s">
        <v>134</v>
      </c>
      <c r="D58" s="100" t="s">
        <v>135</v>
      </c>
      <c r="E58" s="100" t="s">
        <v>136</v>
      </c>
      <c r="F58" s="101" t="s">
        <v>137</v>
      </c>
      <c r="G58" s="126"/>
      <c r="H58" s="127"/>
      <c r="I58" s="127"/>
    </row>
    <row r="59" spans="3:12" ht="12.75">
      <c r="C59" s="128">
        <v>32</v>
      </c>
      <c r="D59" s="129">
        <v>48</v>
      </c>
      <c r="E59" s="129">
        <v>63</v>
      </c>
      <c r="F59" s="130">
        <v>79</v>
      </c>
      <c r="G59" s="131"/>
      <c r="H59" s="132"/>
      <c r="I59" s="132"/>
      <c r="J59" s="32">
        <f>+D59-C59</f>
        <v>16</v>
      </c>
      <c r="K59" s="32">
        <f>+E59-D59</f>
        <v>15</v>
      </c>
      <c r="L59" s="32">
        <f>+F59-E59</f>
        <v>16</v>
      </c>
    </row>
    <row r="60" spans="3:9" ht="13.5" thickBot="1">
      <c r="C60" s="133" t="str">
        <f>+IF($F$42&lt;=C59,C58,"")</f>
        <v>SE 6</v>
      </c>
      <c r="D60" s="134">
        <f>+IF(AND($F$42&lt;=D59,$F$42&gt;C59),D58,"")</f>
      </c>
      <c r="E60" s="134">
        <f>+IF(AND($F$42&lt;=E59,$F$42&gt;D59),E58,"")</f>
      </c>
      <c r="F60" s="135">
        <f>+IF(AND($F$42&lt;=F59,$F$42&gt;E59),F58,"")</f>
      </c>
      <c r="G60" s="136" t="str">
        <f>C60&amp;D60&amp;E60&amp;F60</f>
        <v>SE 6</v>
      </c>
      <c r="H60" s="137">
        <f>IF(C58=G60,13,IF(D58=G60,23,IF(E58=G60,33,IF(F58=G60,43,""))))</f>
        <v>13</v>
      </c>
      <c r="I60" s="137">
        <f>IF(C58=G60,C59,IF(D58=G60,D59,IF(E58=G60,E59,IF(F58=G60,F59,""))))</f>
        <v>32</v>
      </c>
    </row>
    <row r="61" spans="7:9" ht="13.5" thickBot="1">
      <c r="G61" s="97"/>
      <c r="H61" s="98"/>
      <c r="I61" s="98"/>
    </row>
    <row r="62" spans="2:9" ht="12.75">
      <c r="B62" s="32">
        <v>8</v>
      </c>
      <c r="C62" s="99" t="s">
        <v>134</v>
      </c>
      <c r="D62" s="100" t="s">
        <v>135</v>
      </c>
      <c r="E62" s="100" t="s">
        <v>136</v>
      </c>
      <c r="F62" s="101" t="s">
        <v>137</v>
      </c>
      <c r="G62" s="138"/>
      <c r="H62" s="139"/>
      <c r="I62" s="139"/>
    </row>
    <row r="63" spans="3:12" ht="12.75">
      <c r="C63" s="140">
        <v>33</v>
      </c>
      <c r="D63" s="141">
        <v>49</v>
      </c>
      <c r="E63" s="141">
        <v>64</v>
      </c>
      <c r="F63" s="142">
        <v>79</v>
      </c>
      <c r="G63" s="143"/>
      <c r="H63" s="144"/>
      <c r="I63" s="144"/>
      <c r="J63" s="32">
        <f>+D63-C63</f>
        <v>16</v>
      </c>
      <c r="K63" s="32">
        <f>+E63-D63</f>
        <v>15</v>
      </c>
      <c r="L63" s="32">
        <f>+F63-E63</f>
        <v>15</v>
      </c>
    </row>
    <row r="64" spans="3:9" ht="13.5" thickBot="1">
      <c r="C64" s="145" t="str">
        <f>+IF($F$42&lt;=C63,C62,"")</f>
        <v>SE 6</v>
      </c>
      <c r="D64" s="146">
        <f>+IF(AND($F$42&lt;=D63,$F$42&gt;C63),D62,"")</f>
      </c>
      <c r="E64" s="146">
        <f>+IF(AND($F$42&lt;=E63,$F$42&gt;D63),E62,"")</f>
      </c>
      <c r="F64" s="147">
        <f>+IF(AND($F$42&lt;=F63,$F$42&gt;E63),F62,"")</f>
      </c>
      <c r="G64" s="148" t="str">
        <f>C64&amp;D64&amp;E64&amp;F64</f>
        <v>SE 6</v>
      </c>
      <c r="H64" s="149">
        <f>IF(C62=G64,14,IF(D62=G64,24,IF(E62=G64,34,IF(F62=G64,44,""))))</f>
        <v>14</v>
      </c>
      <c r="I64" s="149">
        <f>IF(C62=G64,C63,IF(D62=G64,D63,IF(E62=G64,E63,IF(F62=G64,F63,""))))</f>
        <v>33</v>
      </c>
    </row>
    <row r="65" spans="7:9" ht="13.5" thickBot="1">
      <c r="G65" s="97"/>
      <c r="H65" s="98"/>
      <c r="I65" s="98"/>
    </row>
    <row r="66" spans="2:9" ht="12.75">
      <c r="B66" s="32">
        <v>10</v>
      </c>
      <c r="C66" s="99" t="s">
        <v>134</v>
      </c>
      <c r="D66" s="100" t="s">
        <v>135</v>
      </c>
      <c r="E66" s="100" t="s">
        <v>136</v>
      </c>
      <c r="F66" s="101" t="s">
        <v>137</v>
      </c>
      <c r="G66" s="150"/>
      <c r="H66" s="151"/>
      <c r="I66" s="151"/>
    </row>
    <row r="67" spans="3:12" ht="12.75">
      <c r="C67" s="152">
        <v>34</v>
      </c>
      <c r="D67" s="153">
        <v>49</v>
      </c>
      <c r="E67" s="153">
        <v>64</v>
      </c>
      <c r="F67" s="154">
        <v>79</v>
      </c>
      <c r="G67" s="155"/>
      <c r="H67" s="156"/>
      <c r="I67" s="156"/>
      <c r="J67" s="32">
        <f>+D67-C67</f>
        <v>15</v>
      </c>
      <c r="K67" s="32">
        <f>+E67-D67</f>
        <v>15</v>
      </c>
      <c r="L67" s="32">
        <f>+F67-E67</f>
        <v>15</v>
      </c>
    </row>
    <row r="68" spans="3:9" ht="13.5" thickBot="1">
      <c r="C68" s="157" t="str">
        <f>+IF($F$42&lt;=C67,C66,"")</f>
        <v>SE 6</v>
      </c>
      <c r="D68" s="158">
        <f>+IF(AND($F$42&lt;=D67,$F$42&gt;C67),D66,"")</f>
      </c>
      <c r="E68" s="158">
        <f>+IF(AND($F$42&lt;=E67,$F$42&gt;D67),E66,"")</f>
      </c>
      <c r="F68" s="159">
        <f>+IF(AND($F$42&lt;=F67,$F$42&gt;E67),F66,"")</f>
      </c>
      <c r="G68" s="160" t="str">
        <f>C68&amp;D68&amp;E68&amp;F68</f>
        <v>SE 6</v>
      </c>
      <c r="H68" s="161">
        <f>IF(C66=G68,15,IF(D66=G68,25,IF(E66=G68,35,IF(F66=G68,45,""))))</f>
        <v>15</v>
      </c>
      <c r="I68" s="161">
        <f>IF(C66=G68,C67,IF(D66=G68,D67,IF(E66=G68,E67,IF(F66=G68,F67,""))))</f>
        <v>34</v>
      </c>
    </row>
    <row r="69" spans="6:12" ht="13.5" thickBot="1">
      <c r="F69" s="162">
        <f>IF(H52=H69,B50,IF(H56=H69,B54,IF(H60=H69,B58,IF(H64=H69,B62,IF(H68=H69,B66,"")))))</f>
        <v>2</v>
      </c>
      <c r="G69" s="162" t="str">
        <f>IF(H52=H69,G52,IF(H56=H69,G56,IF(H60=H69,G60,IF(H64=H69,G64,IF(H68=H69,G68,"")))))</f>
        <v>SE 6</v>
      </c>
      <c r="H69" s="96">
        <f>MIN(H52:H68)</f>
        <v>11</v>
      </c>
      <c r="I69" s="96">
        <f>IF(H52=H69,I52,IF(H56=H69,I56,IF(H60=H69,I60,IF(H64=H69,I64,IF(H68=H69,I68,"")))))</f>
        <v>13</v>
      </c>
      <c r="L69" s="32">
        <f>+F67-C51</f>
        <v>66</v>
      </c>
    </row>
    <row r="75" spans="20:24" ht="13.5" thickBot="1">
      <c r="T75" s="34" t="s">
        <v>57</v>
      </c>
      <c r="U75" s="38" t="s">
        <v>58</v>
      </c>
      <c r="V75" s="38" t="s">
        <v>59</v>
      </c>
      <c r="W75" s="38" t="s">
        <v>60</v>
      </c>
      <c r="X75" s="38" t="s">
        <v>61</v>
      </c>
    </row>
    <row r="76" spans="20:24" ht="13.5" thickBot="1">
      <c r="T76" s="82">
        <v>2</v>
      </c>
      <c r="U76" s="83">
        <v>13</v>
      </c>
      <c r="V76" s="80">
        <v>19</v>
      </c>
      <c r="W76" s="80">
        <v>25</v>
      </c>
      <c r="X76" s="84">
        <v>31</v>
      </c>
    </row>
    <row r="77" spans="20:24" ht="13.5" thickBot="1">
      <c r="T77" s="85">
        <v>4</v>
      </c>
      <c r="U77" s="83">
        <v>25</v>
      </c>
      <c r="V77" s="80">
        <v>38</v>
      </c>
      <c r="W77" s="80">
        <v>51</v>
      </c>
      <c r="X77" s="84">
        <v>63</v>
      </c>
    </row>
    <row r="78" spans="20:24" ht="13.5" thickBot="1">
      <c r="T78" s="85">
        <v>6</v>
      </c>
      <c r="U78" s="83">
        <v>32</v>
      </c>
      <c r="V78" s="80">
        <v>48</v>
      </c>
      <c r="W78" s="80">
        <v>63</v>
      </c>
      <c r="X78" s="84">
        <v>79</v>
      </c>
    </row>
    <row r="79" spans="20:24" ht="13.5" thickBot="1">
      <c r="T79" s="85">
        <v>8</v>
      </c>
      <c r="U79" s="83">
        <v>33</v>
      </c>
      <c r="V79" s="80">
        <v>49</v>
      </c>
      <c r="W79" s="80">
        <v>64</v>
      </c>
      <c r="X79" s="84">
        <v>79</v>
      </c>
    </row>
    <row r="80" spans="20:24" ht="13.5" thickBot="1">
      <c r="T80" s="85">
        <v>10</v>
      </c>
      <c r="U80" s="83">
        <v>34</v>
      </c>
      <c r="V80" s="80">
        <v>49</v>
      </c>
      <c r="W80" s="80">
        <v>64</v>
      </c>
      <c r="X80" s="84">
        <v>79</v>
      </c>
    </row>
  </sheetData>
  <sheetProtection password="CF7A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0"/>
  <dimension ref="A1:X80"/>
  <sheetViews>
    <sheetView showRowColHeaders="0" workbookViewId="0" topLeftCell="A1">
      <selection activeCell="B1" sqref="B1"/>
    </sheetView>
  </sheetViews>
  <sheetFormatPr defaultColWidth="9.140625" defaultRowHeight="12.75"/>
  <cols>
    <col min="1" max="1" width="20.7109375" style="32" customWidth="1"/>
    <col min="2" max="2" width="74.421875" style="32" customWidth="1"/>
    <col min="3" max="4" width="13.8515625" style="32" bestFit="1" customWidth="1"/>
    <col min="5" max="5" width="20.140625" style="32" bestFit="1" customWidth="1"/>
    <col min="6" max="6" width="15.28125" style="32" bestFit="1" customWidth="1"/>
    <col min="7" max="7" width="12.57421875" style="32" customWidth="1"/>
    <col min="8" max="9" width="8.8515625" style="32" customWidth="1"/>
    <col min="10" max="16384" width="9.140625" style="32" customWidth="1"/>
  </cols>
  <sheetData>
    <row r="1" spans="1:14" ht="19.5" thickBot="1">
      <c r="A1" s="238"/>
      <c r="B1" s="234" t="s">
        <v>87</v>
      </c>
      <c r="C1" s="210"/>
      <c r="D1" s="210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10"/>
      <c r="B2" s="231"/>
      <c r="C2" s="210"/>
      <c r="D2" s="210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10"/>
      <c r="B3" s="231"/>
      <c r="C3" s="210"/>
      <c r="D3" s="210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10"/>
      <c r="B4" s="231"/>
      <c r="C4" s="210"/>
      <c r="D4" s="210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10"/>
      <c r="B5" s="231"/>
      <c r="C5" s="210"/>
      <c r="D5" s="210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10"/>
      <c r="B6" s="231"/>
      <c r="C6" s="210"/>
      <c r="D6" s="210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10"/>
      <c r="B7" s="231"/>
      <c r="C7" s="210"/>
      <c r="D7" s="210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thickBot="1">
      <c r="A8" s="210"/>
      <c r="B8" s="231"/>
      <c r="C8" s="210"/>
      <c r="D8" s="210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9.5" thickBot="1">
      <c r="A9" s="210"/>
      <c r="B9" s="235" t="str">
        <f>IF(B1=SONUÇ!X21,"","DİKKAT YANLIŞ LEVEL SAYFASINDASINIZ !!!")</f>
        <v>DİKKAT YANLIŞ LEVEL SAYFASINDASINIZ !!!</v>
      </c>
      <c r="C9" s="210"/>
      <c r="D9" s="210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3.5" thickBot="1">
      <c r="A10" s="210"/>
      <c r="B10" s="236"/>
      <c r="C10" s="210"/>
      <c r="D10" s="210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3.5" thickBot="1">
      <c r="A11" s="210"/>
      <c r="B11" s="237">
        <f>IF(B1=SONUÇ!X21,"Aşağıdaki paratonerleri ekonomik olmamakla birlikte zorunlu ise seçebilirsiniz","")</f>
      </c>
      <c r="C11" s="210"/>
      <c r="D11" s="210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3.5" thickBot="1">
      <c r="A12" s="210"/>
      <c r="B12" s="230">
        <f>IF(+G52="","",IF(H52=H69,"",IF(B1=SONUÇ!X21,+B50&amp;"  mt'lik direk"&amp;" üzerine ("&amp;+G52&amp;") paratoneri. ( Max. Koruma : "&amp;+I52&amp;" mt )","")))</f>
      </c>
      <c r="C12" s="210"/>
      <c r="D12" s="210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210"/>
      <c r="B13" s="230">
        <f>IF(+G56="","",IF(H56=H69,"",IF(B1=SONUÇ!X21,+B54&amp;"  mt'lik direk"&amp;" üzerine ("&amp;+G56&amp;") paratoneri. ( Max. Koruma : "&amp;+I56&amp;" mt )","")))</f>
      </c>
      <c r="C13" s="210"/>
      <c r="D13" s="210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3.5" thickBot="1">
      <c r="A14" s="210"/>
      <c r="B14" s="230">
        <f>IF(+G60="","",IF(H60=H69,"",IF(B1=SONUÇ!X21,+B58&amp;" mt'lik direk"&amp;" üzerine ("&amp;+G60&amp;") paratoneri. ( Max. Koruma : "&amp;+I60&amp;" mt )","")))</f>
      </c>
      <c r="C14" s="210"/>
      <c r="D14" s="210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3.5" thickBot="1">
      <c r="A15" s="210"/>
      <c r="B15" s="230">
        <f>IF(+G64="","",IF(H64=H69,"",IF(B1=SONUÇ!X21,+B62&amp;" mt'lik direk"&amp;" üzerine ("&amp;+G64&amp;") paratoneri. ( Max. Koruma : "&amp;+I64&amp;" mt )","")))</f>
      </c>
      <c r="C15" s="210"/>
      <c r="D15" s="210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3.5" thickBot="1">
      <c r="A16" s="210"/>
      <c r="B16" s="230">
        <f>IF(+G68="","",IF(H68=H69,"",IF(B1=SONUÇ!X21,+B66&amp;" mt'lik direk"&amp;" üzerine ("&amp;+G68&amp;") paratoneri. ( Max. Koruma : "&amp;+I68&amp;" mt )","")))</f>
      </c>
      <c r="C16" s="210"/>
      <c r="D16" s="210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210"/>
      <c r="B17" s="231"/>
      <c r="C17" s="210"/>
      <c r="D17" s="210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210"/>
      <c r="B18" s="231"/>
      <c r="C18" s="210"/>
      <c r="D18" s="210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210"/>
      <c r="B19" s="231"/>
      <c r="C19" s="210"/>
      <c r="D19" s="210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210"/>
      <c r="B20" s="231"/>
      <c r="C20" s="210"/>
      <c r="D20" s="210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10"/>
      <c r="B21" s="231"/>
      <c r="C21" s="210"/>
      <c r="D21" s="210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75">
      <c r="A22" s="210"/>
      <c r="B22" s="231"/>
      <c r="C22" s="210"/>
      <c r="D22" s="210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10"/>
      <c r="B23" s="231"/>
      <c r="C23" s="210"/>
      <c r="D23" s="210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10"/>
      <c r="B24" s="231"/>
      <c r="C24" s="210"/>
      <c r="D24" s="210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2.75">
      <c r="A25" s="210"/>
      <c r="B25" s="231"/>
      <c r="C25" s="210"/>
      <c r="D25" s="210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10"/>
      <c r="B26" s="231"/>
      <c r="C26" s="210"/>
      <c r="D26" s="210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10"/>
      <c r="B27" s="231"/>
      <c r="C27" s="210"/>
      <c r="D27" s="210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210"/>
      <c r="B28" s="231"/>
      <c r="C28" s="210"/>
      <c r="D28" s="210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210"/>
      <c r="B29" s="231"/>
      <c r="C29" s="210"/>
      <c r="D29" s="210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210"/>
      <c r="B30" s="231"/>
      <c r="C30" s="210"/>
      <c r="D30" s="210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10"/>
      <c r="B31" s="231"/>
      <c r="C31" s="210"/>
      <c r="D31" s="210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10"/>
      <c r="B32" s="231"/>
      <c r="C32" s="210"/>
      <c r="D32" s="210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10"/>
      <c r="B33" s="231"/>
      <c r="C33" s="210"/>
      <c r="D33" s="210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10"/>
      <c r="B34" s="231"/>
      <c r="C34" s="210"/>
      <c r="D34" s="210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10"/>
      <c r="B35" s="231"/>
      <c r="C35" s="210"/>
      <c r="D35" s="210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10"/>
      <c r="B36" s="231"/>
      <c r="C36" s="210"/>
      <c r="D36" s="210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10"/>
      <c r="B37" s="231"/>
      <c r="C37" s="210"/>
      <c r="D37" s="210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210"/>
      <c r="B38" s="231"/>
      <c r="C38" s="210"/>
      <c r="D38" s="210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3.5" thickBot="1">
      <c r="A39" s="210"/>
      <c r="B39" s="231"/>
      <c r="C39" s="210"/>
      <c r="D39" s="210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10"/>
      <c r="B40" s="231"/>
      <c r="C40" s="210"/>
      <c r="D40" s="210"/>
      <c r="E40" s="87" t="s">
        <v>83</v>
      </c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3.5" thickBot="1">
      <c r="A41" s="210"/>
      <c r="B41" s="231"/>
      <c r="C41" s="210"/>
      <c r="D41" s="210"/>
      <c r="E41" s="88" t="s">
        <v>78</v>
      </c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3.5" thickBot="1">
      <c r="A42" s="28"/>
      <c r="B42" s="28"/>
      <c r="C42" s="28"/>
      <c r="D42" s="28"/>
      <c r="E42" s="88" t="s">
        <v>79</v>
      </c>
      <c r="F42" s="89">
        <f>+koruma!J13</f>
        <v>0</v>
      </c>
      <c r="G42" s="28"/>
      <c r="H42" s="28"/>
      <c r="I42" s="28"/>
      <c r="J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88" t="s">
        <v>80</v>
      </c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>
      <c r="A44" s="28"/>
      <c r="B44" s="28"/>
      <c r="C44" s="28"/>
      <c r="D44" s="28"/>
      <c r="E44" s="88" t="s">
        <v>81</v>
      </c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3.5" thickBot="1">
      <c r="A45" s="28"/>
      <c r="B45" s="28"/>
      <c r="C45" s="28"/>
      <c r="D45" s="28"/>
      <c r="E45" s="90" t="s">
        <v>82</v>
      </c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3.5" thickBo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3.5" thickBot="1">
      <c r="A47" s="28"/>
      <c r="B47" s="86" t="str">
        <f>+B1&amp;" 'deki kriterlere göre 1 paratoner ile korunabilen max mesafe "&amp;+F67&amp;" mt dir"</f>
        <v>LEVEL 1 'deki kriterlere göre 1 paratoner ile korunabilen max mesafe 79 mt dir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3.5" thickBot="1">
      <c r="A48" s="28"/>
      <c r="B48" s="86" t="str">
        <f>"En uygun Paratoner  :  ( "&amp;+G69&amp;" ) Paratoneri ~~~~~~ Direk boyu "&amp;+F69&amp;" mt "</f>
        <v>En uygun Paratoner  :  ( SE 6 ) Paratoneri ~~~~~~ Direk boyu 2 mt 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3.5" thickBot="1">
      <c r="A49" s="28"/>
      <c r="B49" s="86" t="str">
        <f>"Paratonerin Max koruması  "&amp;+I69&amp;" mt. dir"</f>
        <v>Paratonerin Max koruması  13 mt. dir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2:9" ht="12.75">
      <c r="B50" s="32">
        <v>2</v>
      </c>
      <c r="C50" s="99" t="s">
        <v>134</v>
      </c>
      <c r="D50" s="100" t="s">
        <v>135</v>
      </c>
      <c r="E50" s="100" t="s">
        <v>136</v>
      </c>
      <c r="F50" s="101" t="s">
        <v>137</v>
      </c>
      <c r="G50" s="102"/>
      <c r="H50" s="103"/>
      <c r="I50" s="103"/>
    </row>
    <row r="51" spans="3:9" ht="12.75">
      <c r="C51" s="104">
        <v>13</v>
      </c>
      <c r="D51" s="105">
        <v>19</v>
      </c>
      <c r="E51" s="105">
        <v>25</v>
      </c>
      <c r="F51" s="106">
        <v>31</v>
      </c>
      <c r="G51" s="107"/>
      <c r="H51" s="108"/>
      <c r="I51" s="108"/>
    </row>
    <row r="52" spans="3:9" ht="13.5" thickBot="1">
      <c r="C52" s="109" t="str">
        <f>+IF($F$42&lt;=C51,C50,"")</f>
        <v>SE 6</v>
      </c>
      <c r="D52" s="110">
        <f>+IF(AND($F$42&lt;=D51,$F$42&gt;C51),D50,"")</f>
      </c>
      <c r="E52" s="110">
        <f>+IF(AND($F$42&lt;=E51,$F$42&gt;D51),E50,"")</f>
      </c>
      <c r="F52" s="111">
        <f>+IF(AND($F$42&lt;=F51,$F$42&gt;E51),F50,"")</f>
      </c>
      <c r="G52" s="112" t="str">
        <f>C52&amp;D52&amp;E52&amp;F52</f>
        <v>SE 6</v>
      </c>
      <c r="H52" s="113">
        <f>IF(C50=G52,11,IF(D50=G52,21,IF(E50=G52,31,IF(F50=G52,41,""))))</f>
        <v>11</v>
      </c>
      <c r="I52" s="113">
        <f>IF(C50=G52,C51,IF(D50=G52,D51,IF(E50=G52,E51,IF(F50=G52,F51,""))))</f>
        <v>13</v>
      </c>
    </row>
    <row r="53" spans="2:9" ht="13.5" thickBot="1">
      <c r="B53" s="34"/>
      <c r="G53" s="97"/>
      <c r="H53" s="98"/>
      <c r="I53" s="98"/>
    </row>
    <row r="54" spans="2:9" ht="12.75">
      <c r="B54" s="32">
        <v>4</v>
      </c>
      <c r="C54" s="99" t="s">
        <v>134</v>
      </c>
      <c r="D54" s="100" t="s">
        <v>135</v>
      </c>
      <c r="E54" s="100" t="s">
        <v>136</v>
      </c>
      <c r="F54" s="101" t="s">
        <v>137</v>
      </c>
      <c r="G54" s="114"/>
      <c r="H54" s="115"/>
      <c r="I54" s="115"/>
    </row>
    <row r="55" spans="3:9" ht="12.75">
      <c r="C55" s="116">
        <v>25</v>
      </c>
      <c r="D55" s="117">
        <v>38</v>
      </c>
      <c r="E55" s="117">
        <v>51</v>
      </c>
      <c r="F55" s="118">
        <v>63</v>
      </c>
      <c r="G55" s="119"/>
      <c r="H55" s="120"/>
      <c r="I55" s="120"/>
    </row>
    <row r="56" spans="3:9" ht="13.5" thickBot="1">
      <c r="C56" s="121" t="str">
        <f>+IF($F$42&lt;=C55,C54,"")</f>
        <v>SE 6</v>
      </c>
      <c r="D56" s="122">
        <f>+IF(AND($F$42&lt;=D55,$F$42&gt;C55),D54,"")</f>
      </c>
      <c r="E56" s="122">
        <f>+IF(AND($F$42&lt;=E55,$F$42&gt;D55),E54,"")</f>
      </c>
      <c r="F56" s="123">
        <f>+IF(AND($F$42&lt;=F55,$F$42&gt;E55),F54,"")</f>
      </c>
      <c r="G56" s="124" t="str">
        <f>C56&amp;D56&amp;E56&amp;F56</f>
        <v>SE 6</v>
      </c>
      <c r="H56" s="125">
        <f>IF(C54=G56,12,IF(D54=G56,22,IF(E54=G56,32,IF(F54=G56,42,""))))</f>
        <v>12</v>
      </c>
      <c r="I56" s="125">
        <f>IF(C54=G56,C55,IF(D54=G56,D55,IF(E54=G56,E55,IF(F54=G56,F55,""))))</f>
        <v>25</v>
      </c>
    </row>
    <row r="57" spans="7:9" ht="13.5" thickBot="1">
      <c r="G57" s="97"/>
      <c r="H57" s="98"/>
      <c r="I57" s="98"/>
    </row>
    <row r="58" spans="2:9" ht="12.75">
      <c r="B58" s="32">
        <v>6</v>
      </c>
      <c r="C58" s="99" t="s">
        <v>134</v>
      </c>
      <c r="D58" s="100" t="s">
        <v>135</v>
      </c>
      <c r="E58" s="100" t="s">
        <v>136</v>
      </c>
      <c r="F58" s="101" t="s">
        <v>137</v>
      </c>
      <c r="G58" s="126"/>
      <c r="H58" s="127"/>
      <c r="I58" s="127"/>
    </row>
    <row r="59" spans="3:9" ht="12.75">
      <c r="C59" s="128">
        <v>32</v>
      </c>
      <c r="D59" s="129">
        <v>48</v>
      </c>
      <c r="E59" s="129">
        <v>63</v>
      </c>
      <c r="F59" s="130">
        <v>79</v>
      </c>
      <c r="G59" s="131"/>
      <c r="H59" s="132"/>
      <c r="I59" s="132"/>
    </row>
    <row r="60" spans="3:9" ht="13.5" thickBot="1">
      <c r="C60" s="133" t="str">
        <f>+IF($F$42&lt;=C59,C58,"")</f>
        <v>SE 6</v>
      </c>
      <c r="D60" s="134">
        <f>+IF(AND($F$42&lt;=D59,$F$42&gt;C59),D58,"")</f>
      </c>
      <c r="E60" s="134">
        <f>+IF(AND($F$42&lt;=E59,$F$42&gt;D59),E58,"")</f>
      </c>
      <c r="F60" s="135">
        <f>+IF(AND($F$42&lt;=F59,$F$42&gt;E59),F58,"")</f>
      </c>
      <c r="G60" s="136" t="str">
        <f>C60&amp;D60&amp;E60&amp;F60</f>
        <v>SE 6</v>
      </c>
      <c r="H60" s="137">
        <f>IF(C58=G60,13,IF(D58=G60,23,IF(E58=G60,33,IF(F58=G60,43,""))))</f>
        <v>13</v>
      </c>
      <c r="I60" s="137">
        <f>IF(C58=G60,C59,IF(D58=G60,D59,IF(E58=G60,E59,IF(F58=G60,F59,""))))</f>
        <v>32</v>
      </c>
    </row>
    <row r="61" spans="7:9" ht="13.5" thickBot="1">
      <c r="G61" s="97"/>
      <c r="H61" s="98"/>
      <c r="I61" s="98"/>
    </row>
    <row r="62" spans="2:9" ht="12.75">
      <c r="B62" s="32">
        <v>8</v>
      </c>
      <c r="C62" s="99" t="s">
        <v>134</v>
      </c>
      <c r="D62" s="100" t="s">
        <v>135</v>
      </c>
      <c r="E62" s="100" t="s">
        <v>136</v>
      </c>
      <c r="F62" s="101" t="s">
        <v>137</v>
      </c>
      <c r="G62" s="138"/>
      <c r="H62" s="139"/>
      <c r="I62" s="139"/>
    </row>
    <row r="63" spans="3:9" ht="12.75">
      <c r="C63" s="140">
        <v>33</v>
      </c>
      <c r="D63" s="141">
        <v>49</v>
      </c>
      <c r="E63" s="141">
        <v>64</v>
      </c>
      <c r="F63" s="142">
        <v>79</v>
      </c>
      <c r="G63" s="143"/>
      <c r="H63" s="144"/>
      <c r="I63" s="144"/>
    </row>
    <row r="64" spans="3:9" ht="13.5" thickBot="1">
      <c r="C64" s="145" t="str">
        <f>+IF($F$42&lt;=C63,C62,"")</f>
        <v>SE 6</v>
      </c>
      <c r="D64" s="146">
        <f>+IF(AND($F$42&lt;=D63,$F$42&gt;C63),D62,"")</f>
      </c>
      <c r="E64" s="146">
        <f>+IF(AND($F$42&lt;=E63,$F$42&gt;D63),E62,"")</f>
      </c>
      <c r="F64" s="147">
        <f>+IF(AND($F$42&lt;=F63,$F$42&gt;E63),F62,"")</f>
      </c>
      <c r="G64" s="148" t="str">
        <f>C64&amp;D64&amp;E64&amp;F64</f>
        <v>SE 6</v>
      </c>
      <c r="H64" s="149">
        <f>IF(C62=G64,14,IF(D62=G64,24,IF(E62=G64,34,IF(F62=G64,44,""))))</f>
        <v>14</v>
      </c>
      <c r="I64" s="149">
        <f>IF(C62=G64,C63,IF(D62=G64,D63,IF(E62=G64,E63,IF(F62=G64,F63,""))))</f>
        <v>33</v>
      </c>
    </row>
    <row r="65" spans="7:9" ht="13.5" thickBot="1">
      <c r="G65" s="97"/>
      <c r="H65" s="98"/>
      <c r="I65" s="98"/>
    </row>
    <row r="66" spans="2:9" ht="12.75">
      <c r="B66" s="32">
        <v>10</v>
      </c>
      <c r="C66" s="99" t="s">
        <v>134</v>
      </c>
      <c r="D66" s="100" t="s">
        <v>135</v>
      </c>
      <c r="E66" s="100" t="s">
        <v>136</v>
      </c>
      <c r="F66" s="101" t="s">
        <v>137</v>
      </c>
      <c r="G66" s="150"/>
      <c r="H66" s="151"/>
      <c r="I66" s="151"/>
    </row>
    <row r="67" spans="3:9" ht="12.75">
      <c r="C67" s="152">
        <v>34</v>
      </c>
      <c r="D67" s="153">
        <v>49</v>
      </c>
      <c r="E67" s="153">
        <v>64</v>
      </c>
      <c r="F67" s="154">
        <v>79</v>
      </c>
      <c r="G67" s="155"/>
      <c r="H67" s="156"/>
      <c r="I67" s="156"/>
    </row>
    <row r="68" spans="3:9" ht="13.5" thickBot="1">
      <c r="C68" s="157" t="str">
        <f>+IF($F$42&lt;=C67,C66,"")</f>
        <v>SE 6</v>
      </c>
      <c r="D68" s="158">
        <f>+IF(AND($F$42&lt;=D67,$F$42&gt;C67),D66,"")</f>
      </c>
      <c r="E68" s="158">
        <f>+IF(AND($F$42&lt;=E67,$F$42&gt;D67),E66,"")</f>
      </c>
      <c r="F68" s="159">
        <f>+IF(AND($F$42&lt;=F67,$F$42&gt;E67),F66,"")</f>
      </c>
      <c r="G68" s="160" t="str">
        <f>C68&amp;D68&amp;E68&amp;F68</f>
        <v>SE 6</v>
      </c>
      <c r="H68" s="161">
        <f>IF(C66=G68,15,IF(D66=G68,25,IF(E66=G68,35,IF(F66=G68,45,""))))</f>
        <v>15</v>
      </c>
      <c r="I68" s="161">
        <f>IF(C66=G68,C67,IF(D66=G68,D67,IF(E66=G68,E67,IF(F66=G68,F67,""))))</f>
        <v>34</v>
      </c>
    </row>
    <row r="69" spans="6:9" ht="13.5" thickBot="1">
      <c r="F69" s="162">
        <f>IF(H52=H69,B50,IF(H56=H69,B54,IF(H60=H69,B58,IF(H64=H69,B62,IF(H68=H69,B66,"")))))</f>
        <v>2</v>
      </c>
      <c r="G69" s="162" t="str">
        <f>IF(H52=H69,G52,IF(H56=H69,G56,IF(H60=H69,G60,IF(H64=H69,G64,IF(H68=H69,G68,"")))))</f>
        <v>SE 6</v>
      </c>
      <c r="H69" s="96">
        <f>MIN(H52:H68)</f>
        <v>11</v>
      </c>
      <c r="I69" s="96">
        <f>IF(H52=H69,I52,IF(H56=H69,I56,IF(H60=H69,I60,IF(H64=H69,I64,IF(H68=H69,I68,"")))))</f>
        <v>13</v>
      </c>
    </row>
    <row r="70" ht="13.5" thickBot="1">
      <c r="F70" s="284"/>
    </row>
    <row r="75" spans="20:24" ht="13.5" thickBot="1">
      <c r="T75" s="34" t="s">
        <v>57</v>
      </c>
      <c r="U75" s="38" t="s">
        <v>58</v>
      </c>
      <c r="V75" s="38" t="s">
        <v>59</v>
      </c>
      <c r="W75" s="38" t="s">
        <v>60</v>
      </c>
      <c r="X75" s="38" t="s">
        <v>61</v>
      </c>
    </row>
    <row r="76" spans="20:24" ht="13.5" thickBot="1">
      <c r="T76" s="82">
        <v>2</v>
      </c>
      <c r="U76" s="83">
        <v>13</v>
      </c>
      <c r="V76" s="80">
        <v>19</v>
      </c>
      <c r="W76" s="80">
        <v>25</v>
      </c>
      <c r="X76" s="84">
        <v>31</v>
      </c>
    </row>
    <row r="77" spans="20:24" ht="13.5" thickBot="1">
      <c r="T77" s="85">
        <v>4</v>
      </c>
      <c r="U77" s="83">
        <v>25</v>
      </c>
      <c r="V77" s="80">
        <v>38</v>
      </c>
      <c r="W77" s="80">
        <v>51</v>
      </c>
      <c r="X77" s="84">
        <v>63</v>
      </c>
    </row>
    <row r="78" spans="20:24" ht="13.5" thickBot="1">
      <c r="T78" s="85">
        <v>6</v>
      </c>
      <c r="U78" s="83">
        <v>32</v>
      </c>
      <c r="V78" s="80">
        <v>48</v>
      </c>
      <c r="W78" s="80">
        <v>63</v>
      </c>
      <c r="X78" s="84">
        <v>79</v>
      </c>
    </row>
    <row r="79" spans="20:24" ht="13.5" thickBot="1">
      <c r="T79" s="85">
        <v>8</v>
      </c>
      <c r="U79" s="83">
        <v>33</v>
      </c>
      <c r="V79" s="80">
        <v>49</v>
      </c>
      <c r="W79" s="80">
        <v>64</v>
      </c>
      <c r="X79" s="84">
        <v>79</v>
      </c>
    </row>
    <row r="80" spans="20:24" ht="13.5" thickBot="1">
      <c r="T80" s="85">
        <v>10</v>
      </c>
      <c r="U80" s="83">
        <v>34</v>
      </c>
      <c r="V80" s="80">
        <v>49</v>
      </c>
      <c r="W80" s="80">
        <v>64</v>
      </c>
      <c r="X80" s="84">
        <v>79</v>
      </c>
    </row>
  </sheetData>
  <sheetProtection password="CF7A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1"/>
  <dimension ref="A1:X71"/>
  <sheetViews>
    <sheetView showRowColHeaders="0"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2" width="74.421875" style="0" customWidth="1"/>
    <col min="3" max="3" width="13.8515625" style="0" bestFit="1" customWidth="1"/>
    <col min="4" max="4" width="15.7109375" style="0" customWidth="1"/>
    <col min="5" max="5" width="20.140625" style="0" bestFit="1" customWidth="1"/>
    <col min="6" max="6" width="14.28125" style="0" bestFit="1" customWidth="1"/>
    <col min="7" max="7" width="13.421875" style="0" customWidth="1"/>
  </cols>
  <sheetData>
    <row r="1" spans="1:14" ht="19.5" thickBot="1">
      <c r="A1" s="210"/>
      <c r="B1" s="234" t="s">
        <v>75</v>
      </c>
      <c r="C1" s="210"/>
      <c r="D1" s="210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10"/>
      <c r="B2" s="231"/>
      <c r="C2" s="210"/>
      <c r="D2" s="210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10"/>
      <c r="B3" s="231"/>
      <c r="C3" s="210"/>
      <c r="D3" s="210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10"/>
      <c r="B4" s="231"/>
      <c r="C4" s="210"/>
      <c r="D4" s="210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10"/>
      <c r="B5" s="231"/>
      <c r="C5" s="210"/>
      <c r="D5" s="210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10"/>
      <c r="B6" s="231"/>
      <c r="C6" s="210"/>
      <c r="D6" s="210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10"/>
      <c r="B7" s="231"/>
      <c r="C7" s="210"/>
      <c r="D7" s="210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thickBot="1">
      <c r="A8" s="210"/>
      <c r="B8" s="231"/>
      <c r="C8" s="210"/>
      <c r="D8" s="210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9.5" thickBot="1">
      <c r="A9" s="210"/>
      <c r="B9" s="235" t="str">
        <f>IF(B1=SONUÇ!X21,"","DİKKAT YANLIŞ LEVEL SAYFASINDASINIZ !!!")</f>
        <v>DİKKAT YANLIŞ LEVEL SAYFASINDASINIZ !!!</v>
      </c>
      <c r="C9" s="210"/>
      <c r="D9" s="210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3.5" thickBot="1">
      <c r="A10" s="210"/>
      <c r="B10" s="236"/>
      <c r="C10" s="210"/>
      <c r="D10" s="210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3.5" thickBot="1">
      <c r="A11" s="210"/>
      <c r="B11" s="237">
        <f>IF(B1=SONUÇ!X21,"Aşağıdaki paratonerleri ekonomik olmamakla birlikte zorunlu ise seçebilirsiniz","")</f>
      </c>
      <c r="C11" s="210"/>
      <c r="D11" s="210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3.5" thickBot="1">
      <c r="A12" s="210"/>
      <c r="B12" s="230">
        <f>IF(+G52="","",IF(H52=H69,"",IF(B1=SONUÇ!X21,+B50&amp;"  mt'lik direk"&amp;" üzerine ("&amp;+G52&amp;") paratoneri. ( Max. Koruma : "&amp;+I52&amp;" mt )","")))</f>
      </c>
      <c r="C12" s="210"/>
      <c r="D12" s="210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210"/>
      <c r="B13" s="230">
        <f>IF(+G56="","",IF(H56=H69,"",IF(B1=SONUÇ!X21,+B54&amp;"  mt'lik direk"&amp;" üzerine ("&amp;+G56&amp;") paratoneri. ( Max. Koruma : "&amp;+I56&amp;" mt )","")))</f>
      </c>
      <c r="C13" s="210"/>
      <c r="D13" s="210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3.5" thickBot="1">
      <c r="A14" s="210"/>
      <c r="B14" s="230">
        <f>IF(+G60="","",IF(H60=H69,"",IF(B1=SONUÇ!X21,+B58&amp;" mt'lik direk"&amp;" üzerine ("&amp;+G60&amp;") paratoneri. ( Max. Koruma : "&amp;+I60&amp;" mt )","")))</f>
      </c>
      <c r="C14" s="210"/>
      <c r="D14" s="210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3.5" thickBot="1">
      <c r="A15" s="210"/>
      <c r="B15" s="230">
        <f>IF(+G64="","",IF(H64=H69,"",IF(B1=SONUÇ!X21,+B62&amp;" mt'lik direk"&amp;" üzerine ("&amp;+G64&amp;") paratoneri. ( Max. Koruma : "&amp;+I64&amp;" mt )","")))</f>
      </c>
      <c r="C15" s="210"/>
      <c r="D15" s="210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3.5" thickBot="1">
      <c r="A16" s="210"/>
      <c r="B16" s="230">
        <f>IF(+G68="","",IF(H68=H69,"",IF(B1=SONUÇ!X21,+B66&amp;" mt'lik direk"&amp;" üzerine ("&amp;+G68&amp;") paratoneri. ( Max. Koruma : "&amp;+I68&amp;" mt )","")))</f>
      </c>
      <c r="C16" s="210"/>
      <c r="D16" s="210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210"/>
      <c r="B17" s="231"/>
      <c r="C17" s="210"/>
      <c r="D17" s="210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210"/>
      <c r="B18" s="231"/>
      <c r="C18" s="210"/>
      <c r="D18" s="210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210"/>
      <c r="B19" s="231"/>
      <c r="C19" s="210"/>
      <c r="D19" s="210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210"/>
      <c r="B20" s="231"/>
      <c r="C20" s="210"/>
      <c r="D20" s="210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10"/>
      <c r="B21" s="231"/>
      <c r="C21" s="210"/>
      <c r="D21" s="210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75">
      <c r="A22" s="210"/>
      <c r="B22" s="231"/>
      <c r="C22" s="210"/>
      <c r="D22" s="210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10"/>
      <c r="B23" s="231"/>
      <c r="C23" s="210"/>
      <c r="D23" s="210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10"/>
      <c r="B24" s="231"/>
      <c r="C24" s="210"/>
      <c r="D24" s="210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2.75">
      <c r="A25" s="210"/>
      <c r="B25" s="326" t="s">
        <v>151</v>
      </c>
      <c r="C25" s="210"/>
      <c r="D25" s="210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10"/>
      <c r="B26" s="231"/>
      <c r="C26" s="210"/>
      <c r="D26" s="210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10"/>
      <c r="B27" s="231"/>
      <c r="C27" s="210"/>
      <c r="D27" s="210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210"/>
      <c r="B28" s="231"/>
      <c r="C28" s="210"/>
      <c r="D28" s="210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210"/>
      <c r="B29" s="231"/>
      <c r="C29" s="210"/>
      <c r="D29" s="210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210"/>
      <c r="B30" s="231"/>
      <c r="C30" s="210"/>
      <c r="D30" s="210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10"/>
      <c r="B31" s="231"/>
      <c r="C31" s="210"/>
      <c r="D31" s="210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10"/>
      <c r="B32" s="231"/>
      <c r="C32" s="210"/>
      <c r="D32" s="210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10"/>
      <c r="B33" s="231"/>
      <c r="C33" s="210"/>
      <c r="D33" s="210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10"/>
      <c r="B34" s="231"/>
      <c r="C34" s="210"/>
      <c r="D34" s="210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10"/>
      <c r="B35" s="231"/>
      <c r="C35" s="210"/>
      <c r="D35" s="210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10"/>
      <c r="B36" s="231"/>
      <c r="C36" s="210"/>
      <c r="D36" s="210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10"/>
      <c r="B37" s="231"/>
      <c r="C37" s="210"/>
      <c r="D37" s="210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210"/>
      <c r="B38" s="231"/>
      <c r="C38" s="210"/>
      <c r="D38" s="210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3.5" thickBot="1">
      <c r="A39" s="210"/>
      <c r="B39" s="231"/>
      <c r="C39" s="210"/>
      <c r="D39" s="210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10"/>
      <c r="B40" s="231"/>
      <c r="C40" s="210"/>
      <c r="D40" s="210"/>
      <c r="E40" s="87" t="s">
        <v>83</v>
      </c>
      <c r="F40" s="28"/>
      <c r="G40" s="28"/>
      <c r="H40" s="28"/>
      <c r="I40" s="28"/>
      <c r="J40" s="28"/>
      <c r="K40" s="28"/>
      <c r="L40" s="28"/>
      <c r="M40" s="28"/>
      <c r="N40" s="28"/>
    </row>
    <row r="41" spans="1:24" ht="13.5" thickBot="1">
      <c r="A41" s="210"/>
      <c r="B41" s="231"/>
      <c r="C41" s="210"/>
      <c r="D41" s="210"/>
      <c r="E41" s="88" t="s">
        <v>78</v>
      </c>
      <c r="F41" s="28"/>
      <c r="G41" s="28"/>
      <c r="H41" s="28"/>
      <c r="I41" s="28"/>
      <c r="J41" s="28"/>
      <c r="K41" s="28"/>
      <c r="L41" s="28"/>
      <c r="M41" s="28"/>
      <c r="N41" s="28"/>
      <c r="T41" s="12" t="s">
        <v>57</v>
      </c>
      <c r="U41" s="2" t="s">
        <v>58</v>
      </c>
      <c r="V41" s="2" t="s">
        <v>59</v>
      </c>
      <c r="W41" s="2" t="s">
        <v>60</v>
      </c>
      <c r="X41" s="2" t="s">
        <v>61</v>
      </c>
    </row>
    <row r="42" spans="1:24" ht="13.5" thickBot="1">
      <c r="A42" s="28"/>
      <c r="B42" s="28"/>
      <c r="C42" s="28"/>
      <c r="D42" s="28"/>
      <c r="E42" s="88" t="s">
        <v>79</v>
      </c>
      <c r="F42" s="89">
        <f>+koruma!J13</f>
        <v>0</v>
      </c>
      <c r="G42" s="28"/>
      <c r="H42" s="28"/>
      <c r="I42" s="28"/>
      <c r="J42" s="28"/>
      <c r="K42" s="28"/>
      <c r="L42" s="28"/>
      <c r="M42" s="28"/>
      <c r="N42" s="28"/>
      <c r="T42" s="23">
        <v>2</v>
      </c>
      <c r="U42" s="24">
        <v>13</v>
      </c>
      <c r="V42" s="25">
        <v>19</v>
      </c>
      <c r="W42" s="25">
        <v>25</v>
      </c>
      <c r="X42" s="26">
        <v>31</v>
      </c>
    </row>
    <row r="43" spans="1:24" ht="13.5" thickBot="1">
      <c r="A43" s="28"/>
      <c r="B43" s="28"/>
      <c r="C43" s="28"/>
      <c r="D43" s="28"/>
      <c r="E43" s="88" t="s">
        <v>80</v>
      </c>
      <c r="F43" s="28"/>
      <c r="G43" s="28"/>
      <c r="H43" s="28"/>
      <c r="I43" s="28"/>
      <c r="J43" s="28"/>
      <c r="K43" s="28"/>
      <c r="L43" s="28"/>
      <c r="M43" s="28"/>
      <c r="N43" s="28"/>
      <c r="T43" s="27">
        <v>4</v>
      </c>
      <c r="U43" s="24">
        <v>25</v>
      </c>
      <c r="V43" s="25">
        <v>38</v>
      </c>
      <c r="W43" s="25">
        <v>51</v>
      </c>
      <c r="X43" s="26">
        <v>63</v>
      </c>
    </row>
    <row r="44" spans="1:24" ht="13.5" thickBot="1">
      <c r="A44" s="28"/>
      <c r="B44" s="28"/>
      <c r="C44" s="28"/>
      <c r="D44" s="28"/>
      <c r="E44" s="88" t="s">
        <v>81</v>
      </c>
      <c r="F44" s="28"/>
      <c r="G44" s="28"/>
      <c r="H44" s="28"/>
      <c r="I44" s="28"/>
      <c r="J44" s="28"/>
      <c r="K44" s="28"/>
      <c r="L44" s="28"/>
      <c r="M44" s="28"/>
      <c r="N44" s="28"/>
      <c r="T44" s="27">
        <v>6</v>
      </c>
      <c r="U44" s="24">
        <v>32</v>
      </c>
      <c r="V44" s="25">
        <v>48</v>
      </c>
      <c r="W44" s="25">
        <v>63</v>
      </c>
      <c r="X44" s="26">
        <v>79</v>
      </c>
    </row>
    <row r="45" spans="1:24" ht="13.5" thickBot="1">
      <c r="A45" s="28"/>
      <c r="B45" s="28"/>
      <c r="C45" s="28"/>
      <c r="D45" s="28"/>
      <c r="E45" s="90" t="s">
        <v>82</v>
      </c>
      <c r="F45" s="28"/>
      <c r="G45" s="28"/>
      <c r="H45" s="28"/>
      <c r="I45" s="28"/>
      <c r="J45" s="28"/>
      <c r="K45" s="28"/>
      <c r="L45" s="28"/>
      <c r="M45" s="28"/>
      <c r="N45" s="28"/>
      <c r="T45" s="27">
        <v>8</v>
      </c>
      <c r="U45" s="24">
        <v>33</v>
      </c>
      <c r="V45" s="25">
        <v>49</v>
      </c>
      <c r="W45" s="25">
        <v>64</v>
      </c>
      <c r="X45" s="26">
        <v>79</v>
      </c>
    </row>
    <row r="46" spans="1:24" ht="13.5" thickBo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T46" s="27">
        <v>10</v>
      </c>
      <c r="U46" s="24">
        <v>34</v>
      </c>
      <c r="V46" s="25">
        <v>49</v>
      </c>
      <c r="W46" s="25">
        <v>64</v>
      </c>
      <c r="X46" s="26">
        <v>79</v>
      </c>
    </row>
    <row r="47" spans="1:24" ht="13.5" thickBot="1">
      <c r="A47" s="28"/>
      <c r="B47" s="86" t="str">
        <f>+B1&amp;" 'deki kriterlere göre 1 paratoner ile korunabilen max mesafe "&amp;+F67&amp;" mt dir"</f>
        <v>LEVEL 2 'deki kriterlere göre 1 paratoner ile korunabilen max mesafe 99 mt dir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T47" s="31"/>
      <c r="U47" s="30"/>
      <c r="V47" s="30"/>
      <c r="W47" s="30"/>
      <c r="X47" s="30"/>
    </row>
    <row r="48" spans="1:24" ht="13.5" thickBot="1">
      <c r="A48" s="28"/>
      <c r="B48" s="86" t="str">
        <f>"En uygun Paratoner  :  ( "&amp;+G69&amp;" ) Paratoneri ~~~~~~ Direk boyu "&amp;+F69&amp;" mt "</f>
        <v>En uygun Paratoner  :  ( SE 6 ) Paratoneri ~~~~~~ Direk boyu 2 mt 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T48" s="31"/>
      <c r="U48" s="30"/>
      <c r="V48" s="30"/>
      <c r="W48" s="30"/>
      <c r="X48" s="30"/>
    </row>
    <row r="49" spans="1:24" ht="13.5" thickBot="1">
      <c r="A49" s="28"/>
      <c r="B49" s="86" t="str">
        <f>"Paratonerin Max koruması  "&amp;+I69&amp;" mt. dir"</f>
        <v>Paratonerin Max koruması  18 mt. dir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T49" s="31"/>
      <c r="U49" s="30"/>
      <c r="V49" s="30"/>
      <c r="W49" s="30"/>
      <c r="X49" s="30"/>
    </row>
    <row r="50" spans="2:9" ht="12.75">
      <c r="B50">
        <v>2</v>
      </c>
      <c r="C50" s="99" t="s">
        <v>134</v>
      </c>
      <c r="D50" s="100" t="s">
        <v>135</v>
      </c>
      <c r="E50" s="100" t="s">
        <v>136</v>
      </c>
      <c r="F50" s="101" t="s">
        <v>137</v>
      </c>
      <c r="G50" s="102"/>
      <c r="H50" s="103"/>
      <c r="I50" s="103"/>
    </row>
    <row r="51" spans="3:11" ht="12.75">
      <c r="C51" s="104">
        <v>18</v>
      </c>
      <c r="D51" s="105">
        <v>25</v>
      </c>
      <c r="E51" s="105">
        <v>32</v>
      </c>
      <c r="F51" s="106">
        <v>39</v>
      </c>
      <c r="G51" s="107"/>
      <c r="H51" s="108"/>
      <c r="I51" s="108"/>
      <c r="J51" s="32">
        <f>+E51-D51</f>
        <v>7</v>
      </c>
      <c r="K51" s="32">
        <f>+F51-E51</f>
        <v>7</v>
      </c>
    </row>
    <row r="52" spans="3:11" ht="13.5" thickBot="1">
      <c r="C52" s="109" t="str">
        <f>+IF($F$42&lt;=C51,C50,"")</f>
        <v>SE 6</v>
      </c>
      <c r="D52" s="110">
        <f>+IF(AND($F$42&lt;=D51,$F$42&gt;C51),D50,"")</f>
      </c>
      <c r="E52" s="110">
        <f>+IF(AND($F$42&lt;=E51,$F$42&gt;D51),E50,"")</f>
      </c>
      <c r="F52" s="111">
        <f>+IF(AND($F$42&lt;=F51,$F$42&gt;E51),F50,"")</f>
      </c>
      <c r="G52" s="112" t="str">
        <f>C52&amp;D52&amp;E52&amp;F52</f>
        <v>SE 6</v>
      </c>
      <c r="H52" s="113">
        <f>IF(C50=G52,11,IF(D50=G52,21,IF(E50=G52,31,IF(F50=G52,41,""))))</f>
        <v>11</v>
      </c>
      <c r="I52" s="113">
        <f>IF(C50=G52,C51,IF(D50=G52,D51,IF(E50=G52,E51,IF(F50=G52,F51,""))))</f>
        <v>18</v>
      </c>
      <c r="J52">
        <v>7</v>
      </c>
      <c r="K52">
        <v>7</v>
      </c>
    </row>
    <row r="53" spans="2:11" ht="13.5" thickBot="1">
      <c r="B53" s="12"/>
      <c r="C53" s="32"/>
      <c r="D53" s="32"/>
      <c r="E53" s="32"/>
      <c r="F53" s="32"/>
      <c r="G53" s="97"/>
      <c r="H53" s="98"/>
      <c r="I53" s="98"/>
      <c r="J53" s="32"/>
      <c r="K53" s="32"/>
    </row>
    <row r="54" spans="2:11" ht="12.75">
      <c r="B54">
        <v>4</v>
      </c>
      <c r="C54" s="99" t="s">
        <v>134</v>
      </c>
      <c r="D54" s="100" t="s">
        <v>135</v>
      </c>
      <c r="E54" s="100" t="s">
        <v>136</v>
      </c>
      <c r="F54" s="101" t="s">
        <v>137</v>
      </c>
      <c r="G54" s="114"/>
      <c r="H54" s="115"/>
      <c r="I54" s="115"/>
      <c r="J54" s="32"/>
      <c r="K54" s="32"/>
    </row>
    <row r="55" spans="3:11" ht="12.75">
      <c r="C55" s="116">
        <v>36</v>
      </c>
      <c r="D55" s="117">
        <v>51</v>
      </c>
      <c r="E55" s="117">
        <v>65</v>
      </c>
      <c r="F55" s="118">
        <v>78</v>
      </c>
      <c r="G55" s="119"/>
      <c r="H55" s="120"/>
      <c r="I55" s="120"/>
      <c r="J55" s="32">
        <f>+E55-D55</f>
        <v>14</v>
      </c>
      <c r="K55" s="32">
        <f>+F55-E55</f>
        <v>13</v>
      </c>
    </row>
    <row r="56" spans="3:11" ht="13.5" thickBot="1">
      <c r="C56" s="121" t="str">
        <f>+IF($F$42&lt;=C55,C54,"")</f>
        <v>SE 6</v>
      </c>
      <c r="D56" s="122">
        <f>+IF(AND($F$42&lt;=D55,$F$42&gt;C55),D54,"")</f>
      </c>
      <c r="E56" s="122">
        <f>+IF(AND($F$42&lt;=E55,$F$42&gt;D55),E54,"")</f>
      </c>
      <c r="F56" s="123">
        <f>+IF(AND($F$42&lt;=F55,$F$42&gt;E55),F54,"")</f>
      </c>
      <c r="G56" s="124" t="str">
        <f>C56&amp;D56&amp;E56&amp;F56</f>
        <v>SE 6</v>
      </c>
      <c r="H56" s="125">
        <f>IF(C54=G56,12,IF(D54=G56,22,IF(E54=G56,32,IF(F54=G56,42,""))))</f>
        <v>12</v>
      </c>
      <c r="I56" s="125">
        <f>IF(C54=G56,C55,IF(D54=G56,D55,IF(E54=G56,E55,IF(F54=G56,F55,""))))</f>
        <v>36</v>
      </c>
      <c r="J56" s="32">
        <v>14</v>
      </c>
      <c r="K56" s="32">
        <v>13</v>
      </c>
    </row>
    <row r="57" spans="3:11" ht="13.5" thickBot="1">
      <c r="C57" s="32"/>
      <c r="D57" s="32"/>
      <c r="E57" s="32"/>
      <c r="F57" s="32"/>
      <c r="G57" s="97"/>
      <c r="H57" s="98"/>
      <c r="I57" s="98"/>
      <c r="J57" s="32"/>
      <c r="K57" s="32"/>
    </row>
    <row r="58" spans="2:11" ht="12.75">
      <c r="B58">
        <v>6</v>
      </c>
      <c r="C58" s="99" t="s">
        <v>134</v>
      </c>
      <c r="D58" s="100" t="s">
        <v>135</v>
      </c>
      <c r="E58" s="100" t="s">
        <v>136</v>
      </c>
      <c r="F58" s="101" t="s">
        <v>137</v>
      </c>
      <c r="G58" s="126"/>
      <c r="H58" s="127"/>
      <c r="I58" s="127"/>
      <c r="J58" s="32"/>
      <c r="K58" s="32"/>
    </row>
    <row r="59" spans="3:11" ht="12.75">
      <c r="C59" s="128">
        <v>46</v>
      </c>
      <c r="D59" s="129">
        <v>64</v>
      </c>
      <c r="E59" s="129">
        <v>81</v>
      </c>
      <c r="F59" s="130">
        <v>97</v>
      </c>
      <c r="G59" s="131"/>
      <c r="H59" s="132"/>
      <c r="I59" s="132"/>
      <c r="J59" s="32">
        <f>+E59-D59</f>
        <v>17</v>
      </c>
      <c r="K59" s="32">
        <f>+F59-E59</f>
        <v>16</v>
      </c>
    </row>
    <row r="60" spans="3:11" ht="13.5" thickBot="1">
      <c r="C60" s="133" t="str">
        <f>+IF($F$42&lt;=C59,C58,"")</f>
        <v>SE 6</v>
      </c>
      <c r="D60" s="134">
        <f>+IF(AND($F$42&lt;=D59,$F$42&gt;C59),D58,"")</f>
      </c>
      <c r="E60" s="134">
        <f>+IF(AND($F$42&lt;=E59,$F$42&gt;D59),E58,"")</f>
      </c>
      <c r="F60" s="135">
        <f>+IF(AND($F$42&lt;=F59,$F$42&gt;E59),F58,"")</f>
      </c>
      <c r="G60" s="136" t="str">
        <f>C60&amp;D60&amp;E60&amp;F60</f>
        <v>SE 6</v>
      </c>
      <c r="H60" s="137">
        <f>IF(C58=G60,13,IF(D58=G60,23,IF(E58=G60,33,IF(F58=G60,43,""))))</f>
        <v>13</v>
      </c>
      <c r="I60" s="137">
        <f>IF(C58=G60,C59,IF(D58=G60,D59,IF(E58=G60,E59,IF(F58=G60,F59,""))))</f>
        <v>46</v>
      </c>
      <c r="J60" s="32">
        <v>17</v>
      </c>
      <c r="K60" s="32">
        <v>16</v>
      </c>
    </row>
    <row r="61" spans="3:11" ht="13.5" thickBot="1">
      <c r="C61" s="32"/>
      <c r="D61" s="32"/>
      <c r="E61" s="32"/>
      <c r="F61" s="32"/>
      <c r="G61" s="97"/>
      <c r="H61" s="98"/>
      <c r="I61" s="98"/>
      <c r="J61" s="32"/>
      <c r="K61" s="32"/>
    </row>
    <row r="62" spans="2:11" ht="12.75">
      <c r="B62">
        <v>8</v>
      </c>
      <c r="C62" s="99" t="s">
        <v>134</v>
      </c>
      <c r="D62" s="100" t="s">
        <v>135</v>
      </c>
      <c r="E62" s="100" t="s">
        <v>136</v>
      </c>
      <c r="F62" s="101" t="s">
        <v>137</v>
      </c>
      <c r="G62" s="138"/>
      <c r="H62" s="139"/>
      <c r="I62" s="139"/>
      <c r="J62" s="32"/>
      <c r="K62" s="32"/>
    </row>
    <row r="63" spans="3:11" ht="12.75">
      <c r="C63" s="140">
        <v>47</v>
      </c>
      <c r="D63" s="141">
        <v>65</v>
      </c>
      <c r="E63" s="141">
        <v>82</v>
      </c>
      <c r="F63" s="142">
        <v>98</v>
      </c>
      <c r="G63" s="143"/>
      <c r="H63" s="144"/>
      <c r="I63" s="144"/>
      <c r="J63" s="32">
        <f>+E63-D63</f>
        <v>17</v>
      </c>
      <c r="K63" s="32">
        <f>+F63-E63</f>
        <v>16</v>
      </c>
    </row>
    <row r="64" spans="3:11" ht="13.5" thickBot="1">
      <c r="C64" s="145" t="str">
        <f>+IF($F$42&lt;=C63,C62,"")</f>
        <v>SE 6</v>
      </c>
      <c r="D64" s="146">
        <f>+IF(AND($F$42&lt;=D63,$F$42&gt;C63),D62,"")</f>
      </c>
      <c r="E64" s="146">
        <f>+IF(AND($F$42&lt;=E63,$F$42&gt;D63),E62,"")</f>
      </c>
      <c r="F64" s="147">
        <f>+IF(AND($F$42&lt;=F63,$F$42&gt;E63),F62,"")</f>
      </c>
      <c r="G64" s="148" t="str">
        <f>C64&amp;D64&amp;E64&amp;F64</f>
        <v>SE 6</v>
      </c>
      <c r="H64" s="149">
        <f>IF(C62=G64,14,IF(D62=G64,24,IF(E62=G64,34,IF(F62=G64,44,""))))</f>
        <v>14</v>
      </c>
      <c r="I64" s="149">
        <f>IF(C62=G64,C63,IF(D62=G64,D63,IF(E62=G64,E63,IF(F62=G64,F63,""))))</f>
        <v>47</v>
      </c>
      <c r="J64" s="32">
        <v>17</v>
      </c>
      <c r="K64" s="32">
        <v>16</v>
      </c>
    </row>
    <row r="65" spans="3:11" ht="13.5" thickBot="1">
      <c r="C65" s="32"/>
      <c r="D65" s="32"/>
      <c r="E65" s="32"/>
      <c r="F65" s="32"/>
      <c r="G65" s="97"/>
      <c r="H65" s="98"/>
      <c r="I65" s="98"/>
      <c r="J65" s="32"/>
      <c r="K65" s="32"/>
    </row>
    <row r="66" spans="2:11" ht="12.75">
      <c r="B66">
        <v>10</v>
      </c>
      <c r="C66" s="99" t="s">
        <v>134</v>
      </c>
      <c r="D66" s="100" t="s">
        <v>135</v>
      </c>
      <c r="E66" s="100" t="s">
        <v>136</v>
      </c>
      <c r="F66" s="101" t="s">
        <v>137</v>
      </c>
      <c r="G66" s="150"/>
      <c r="H66" s="151"/>
      <c r="I66" s="151"/>
      <c r="J66" s="32"/>
      <c r="K66" s="32"/>
    </row>
    <row r="67" spans="3:11" ht="12.75">
      <c r="C67" s="152">
        <v>49</v>
      </c>
      <c r="D67" s="153">
        <v>66</v>
      </c>
      <c r="E67" s="153">
        <v>83</v>
      </c>
      <c r="F67" s="154">
        <v>99</v>
      </c>
      <c r="G67" s="155"/>
      <c r="H67" s="156"/>
      <c r="I67" s="156"/>
      <c r="J67" s="32">
        <f>+E67-D67</f>
        <v>17</v>
      </c>
      <c r="K67" s="32">
        <f>+F67-E67</f>
        <v>16</v>
      </c>
    </row>
    <row r="68" spans="3:11" ht="13.5" thickBot="1">
      <c r="C68" s="157" t="str">
        <f>+IF($F$42&lt;=C67,C66,"")</f>
        <v>SE 6</v>
      </c>
      <c r="D68" s="158">
        <f>+IF(AND($F$42&lt;=D67,$F$42&gt;C67),D66,"")</f>
      </c>
      <c r="E68" s="158">
        <f>+IF(AND($F$42&lt;=E67,$F$42&gt;D67),E66,"")</f>
      </c>
      <c r="F68" s="159">
        <f>+IF(AND($F$42&lt;=F67,$F$42&gt;E67),F66,"")</f>
      </c>
      <c r="G68" s="160" t="str">
        <f>C68&amp;D68&amp;E68&amp;F68</f>
        <v>SE 6</v>
      </c>
      <c r="H68" s="161">
        <f>IF(C66=G68,15,IF(D66=G68,25,IF(E66=G68,35,IF(F66=G68,45,""))))</f>
        <v>15</v>
      </c>
      <c r="I68" s="161">
        <f>IF(C66=G68,C67,IF(D66=G68,D67,IF(E66=G68,E67,IF(F66=G68,F67,""))))</f>
        <v>49</v>
      </c>
      <c r="J68">
        <v>17</v>
      </c>
      <c r="K68">
        <v>16</v>
      </c>
    </row>
    <row r="69" spans="3:11" ht="13.5" thickBot="1">
      <c r="C69" s="32"/>
      <c r="D69" s="32"/>
      <c r="E69" s="32"/>
      <c r="F69" s="162">
        <f>IF(H52=H69,B50,IF(H56=H69,B54,IF(H60=H69,B58,IF(H64=H69,B62,IF(H68=H69,B66,"")))))</f>
        <v>2</v>
      </c>
      <c r="G69" s="162" t="str">
        <f>IF(H52=H69,G52,IF(H56=H69,G56,IF(H60=H69,G60,IF(H64=H69,G64,IF(H68=H69,G68,"")))))</f>
        <v>SE 6</v>
      </c>
      <c r="H69" s="96">
        <f>MIN(H52:H68)</f>
        <v>11</v>
      </c>
      <c r="I69" s="96">
        <f>IF(H52=H69,I52,IF(H56=H69,I56,IF(H60=H69,I60,IF(H64=H69,I64,IF(H68=H69,I68,"")))))</f>
        <v>18</v>
      </c>
      <c r="K69" s="32">
        <f>+F67-C51</f>
        <v>81</v>
      </c>
    </row>
    <row r="71" spans="6:8" ht="12.75">
      <c r="F71" s="12"/>
      <c r="G71" s="12"/>
      <c r="H71" s="12"/>
    </row>
  </sheetData>
  <sheetProtection password="CF7A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2"/>
  <dimension ref="A1:X71"/>
  <sheetViews>
    <sheetView showRowColHeaders="0"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2" width="74.421875" style="0" customWidth="1"/>
    <col min="3" max="3" width="13.8515625" style="0" bestFit="1" customWidth="1"/>
    <col min="4" max="4" width="15.7109375" style="0" customWidth="1"/>
    <col min="5" max="5" width="20.140625" style="0" bestFit="1" customWidth="1"/>
    <col min="6" max="6" width="14.28125" style="0" bestFit="1" customWidth="1"/>
    <col min="7" max="7" width="13.421875" style="0" customWidth="1"/>
  </cols>
  <sheetData>
    <row r="1" spans="1:14" ht="19.5" thickBot="1">
      <c r="A1" s="238"/>
      <c r="B1" s="234" t="s">
        <v>76</v>
      </c>
      <c r="C1" s="210"/>
      <c r="D1" s="210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10"/>
      <c r="B2" s="231"/>
      <c r="C2" s="210"/>
      <c r="D2" s="210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10"/>
      <c r="B3" s="231"/>
      <c r="C3" s="210"/>
      <c r="D3" s="210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10"/>
      <c r="B4" s="231"/>
      <c r="C4" s="210"/>
      <c r="D4" s="210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10"/>
      <c r="B5" s="231"/>
      <c r="C5" s="210"/>
      <c r="D5" s="210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10"/>
      <c r="B6" s="231"/>
      <c r="C6" s="210"/>
      <c r="D6" s="210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10"/>
      <c r="B7" s="231"/>
      <c r="C7" s="210"/>
      <c r="D7" s="210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3.5" thickBot="1">
      <c r="A8" s="210"/>
      <c r="B8" s="231"/>
      <c r="C8" s="210"/>
      <c r="D8" s="210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9.5" thickBot="1">
      <c r="A9" s="210"/>
      <c r="B9" s="235" t="str">
        <f>IF(B1=SONUÇ!X21,"","DİKKAT YANLIŞ LEVEL SAYFASINDASINIZ !!!")</f>
        <v>DİKKAT YANLIŞ LEVEL SAYFASINDASINIZ !!!</v>
      </c>
      <c r="C9" s="210"/>
      <c r="D9" s="210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3.5" thickBot="1">
      <c r="A10" s="210"/>
      <c r="B10" s="236"/>
      <c r="C10" s="210"/>
      <c r="D10" s="210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3.5" thickBot="1">
      <c r="A11" s="210"/>
      <c r="B11" s="237">
        <f>IF(B1=SONUÇ!X21,"Aşağıdaki paratonerleri ekonomik olmamakla birlikte zorunlu ise seçebilirsiniz","")</f>
      </c>
      <c r="C11" s="210"/>
      <c r="D11" s="210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3.5" thickBot="1">
      <c r="A12" s="210"/>
      <c r="B12" s="230">
        <f>IF(+G52="","",IF(H52=H69,"",IF(B1=SONUÇ!X21,+B50&amp;"  mt'lik direk"&amp;" üzerine ("&amp;+G52&amp;") paratoneri. ( Max. Koruma : "&amp;+I52&amp;" mt )","")))</f>
      </c>
      <c r="C12" s="210"/>
      <c r="D12" s="210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210"/>
      <c r="B13" s="230">
        <f>IF(+G56="","",IF(H56=H69,"",IF(B1=SONUÇ!X21,+B54&amp;"  mt'lik direk"&amp;" üzerine ("&amp;+G56&amp;") paratoneri. ( Max. Koruma : "&amp;+I56&amp;" mt )","")))</f>
      </c>
      <c r="C13" s="210"/>
      <c r="D13" s="210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3.5" thickBot="1">
      <c r="A14" s="210"/>
      <c r="B14" s="230">
        <f>IF(+G60="","",IF(H60=H69,"",IF(B1=SONUÇ!X21,+B58&amp;" mt'lik direk"&amp;" üzerine ("&amp;+G60&amp;") paratoneri. ( Max. Koruma : "&amp;+I60&amp;" mt )","")))</f>
      </c>
      <c r="C14" s="210"/>
      <c r="D14" s="210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3.5" thickBot="1">
      <c r="A15" s="210"/>
      <c r="B15" s="230">
        <f>IF(+G64="","",IF(H64=H69,"",IF(B1=SONUÇ!X21,+B62&amp;" mt'lik direk"&amp;" üzerine ("&amp;+G64&amp;") paratoneri. ( Max. Koruma : "&amp;+I64&amp;" mt )","")))</f>
      </c>
      <c r="C15" s="210"/>
      <c r="D15" s="210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3.5" thickBot="1">
      <c r="A16" s="210"/>
      <c r="B16" s="230">
        <f>IF(+G68="","",IF(H68=H69,"",IF(B1=SONUÇ!X21,+B66&amp;" mt'lik direk"&amp;" üzerine ("&amp;+G68&amp;") paratoneri. ( Max. Koruma : "&amp;+I68&amp;" mt )","")))</f>
      </c>
      <c r="C16" s="210"/>
      <c r="D16" s="210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2.75">
      <c r="A17" s="210"/>
      <c r="B17" s="231"/>
      <c r="C17" s="210"/>
      <c r="D17" s="210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210"/>
      <c r="B18" s="231"/>
      <c r="C18" s="210"/>
      <c r="D18" s="210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>
      <c r="A19" s="210"/>
      <c r="B19" s="231"/>
      <c r="C19" s="210"/>
      <c r="D19" s="210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210"/>
      <c r="B20" s="231"/>
      <c r="C20" s="210"/>
      <c r="D20" s="210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210"/>
      <c r="B21" s="231"/>
      <c r="C21" s="210"/>
      <c r="D21" s="210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2.75">
      <c r="A22" s="210"/>
      <c r="B22" s="231"/>
      <c r="C22" s="210"/>
      <c r="D22" s="210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2.75">
      <c r="A23" s="210"/>
      <c r="B23" s="231"/>
      <c r="C23" s="210"/>
      <c r="D23" s="210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10"/>
      <c r="B24" s="231"/>
      <c r="C24" s="210"/>
      <c r="D24" s="210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2.75">
      <c r="A25" s="210"/>
      <c r="B25" s="231"/>
      <c r="C25" s="210"/>
      <c r="D25" s="210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.75">
      <c r="A26" s="210"/>
      <c r="B26" s="231"/>
      <c r="C26" s="210"/>
      <c r="D26" s="210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.75">
      <c r="A27" s="210"/>
      <c r="B27" s="231"/>
      <c r="C27" s="210"/>
      <c r="D27" s="210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2.75">
      <c r="A28" s="210"/>
      <c r="B28" s="231"/>
      <c r="C28" s="210"/>
      <c r="D28" s="210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210"/>
      <c r="B29" s="231"/>
      <c r="C29" s="210"/>
      <c r="D29" s="210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210"/>
      <c r="B30" s="231"/>
      <c r="C30" s="210"/>
      <c r="D30" s="210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10"/>
      <c r="B31" s="231"/>
      <c r="C31" s="210"/>
      <c r="D31" s="210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10"/>
      <c r="B32" s="231"/>
      <c r="C32" s="210"/>
      <c r="D32" s="210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10"/>
      <c r="B33" s="231"/>
      <c r="C33" s="210"/>
      <c r="D33" s="210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10"/>
      <c r="B34" s="231"/>
      <c r="C34" s="210"/>
      <c r="D34" s="210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10"/>
      <c r="B35" s="231"/>
      <c r="C35" s="210"/>
      <c r="D35" s="210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10"/>
      <c r="B36" s="231"/>
      <c r="C36" s="210"/>
      <c r="D36" s="210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10"/>
      <c r="B37" s="231"/>
      <c r="C37" s="210"/>
      <c r="D37" s="210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210"/>
      <c r="B38" s="231"/>
      <c r="C38" s="210"/>
      <c r="D38" s="210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3.5" thickBot="1">
      <c r="A39" s="210"/>
      <c r="B39" s="231"/>
      <c r="C39" s="210"/>
      <c r="D39" s="210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10"/>
      <c r="B40" s="231"/>
      <c r="C40" s="210"/>
      <c r="D40" s="210"/>
      <c r="E40" s="87" t="s">
        <v>83</v>
      </c>
      <c r="F40" s="28"/>
      <c r="G40" s="28"/>
      <c r="H40" s="28"/>
      <c r="I40" s="28"/>
      <c r="J40" s="28"/>
      <c r="K40" s="28"/>
      <c r="L40" s="28"/>
      <c r="M40" s="28"/>
      <c r="N40" s="28"/>
    </row>
    <row r="41" spans="1:24" ht="13.5" thickBot="1">
      <c r="A41" s="210"/>
      <c r="B41" s="231"/>
      <c r="C41" s="210"/>
      <c r="D41" s="210"/>
      <c r="E41" s="88" t="s">
        <v>78</v>
      </c>
      <c r="F41" s="28"/>
      <c r="G41" s="28"/>
      <c r="H41" s="28"/>
      <c r="I41" s="28"/>
      <c r="J41" s="28"/>
      <c r="K41" s="28"/>
      <c r="L41" s="28"/>
      <c r="M41" s="28"/>
      <c r="N41" s="28"/>
      <c r="T41" s="12" t="s">
        <v>57</v>
      </c>
      <c r="U41" s="2" t="s">
        <v>58</v>
      </c>
      <c r="V41" s="2" t="s">
        <v>59</v>
      </c>
      <c r="W41" s="2" t="s">
        <v>60</v>
      </c>
      <c r="X41" s="2" t="s">
        <v>61</v>
      </c>
    </row>
    <row r="42" spans="1:24" ht="13.5" thickBot="1">
      <c r="A42" s="28"/>
      <c r="B42" s="28"/>
      <c r="C42" s="28"/>
      <c r="D42" s="28"/>
      <c r="E42" s="88" t="s">
        <v>79</v>
      </c>
      <c r="F42" s="89">
        <f>+koruma!J13</f>
        <v>0</v>
      </c>
      <c r="G42" s="28"/>
      <c r="H42" s="28"/>
      <c r="I42" s="28"/>
      <c r="J42" s="28"/>
      <c r="K42" s="28"/>
      <c r="L42" s="28"/>
      <c r="M42" s="28"/>
      <c r="N42" s="28"/>
      <c r="T42" s="23">
        <v>2</v>
      </c>
      <c r="U42" s="24">
        <v>13</v>
      </c>
      <c r="V42" s="25">
        <v>19</v>
      </c>
      <c r="W42" s="25">
        <v>25</v>
      </c>
      <c r="X42" s="26">
        <v>31</v>
      </c>
    </row>
    <row r="43" spans="1:24" ht="13.5" thickBot="1">
      <c r="A43" s="28"/>
      <c r="B43" s="28"/>
      <c r="C43" s="28"/>
      <c r="D43" s="28"/>
      <c r="E43" s="88" t="s">
        <v>80</v>
      </c>
      <c r="F43" s="28"/>
      <c r="G43" s="28"/>
      <c r="H43" s="28"/>
      <c r="I43" s="28"/>
      <c r="J43" s="28"/>
      <c r="K43" s="28"/>
      <c r="L43" s="28"/>
      <c r="M43" s="28"/>
      <c r="N43" s="28"/>
      <c r="T43" s="27">
        <v>4</v>
      </c>
      <c r="U43" s="24">
        <v>25</v>
      </c>
      <c r="V43" s="25">
        <v>38</v>
      </c>
      <c r="W43" s="25">
        <v>51</v>
      </c>
      <c r="X43" s="26">
        <v>63</v>
      </c>
    </row>
    <row r="44" spans="1:24" ht="13.5" thickBot="1">
      <c r="A44" s="28"/>
      <c r="B44" s="28"/>
      <c r="C44" s="28"/>
      <c r="D44" s="28"/>
      <c r="E44" s="88" t="s">
        <v>81</v>
      </c>
      <c r="F44" s="28"/>
      <c r="G44" s="28"/>
      <c r="H44" s="28"/>
      <c r="I44" s="28"/>
      <c r="J44" s="28"/>
      <c r="K44" s="28"/>
      <c r="L44" s="28"/>
      <c r="M44" s="28"/>
      <c r="N44" s="28"/>
      <c r="T44" s="27">
        <v>6</v>
      </c>
      <c r="U44" s="24">
        <v>32</v>
      </c>
      <c r="V44" s="25">
        <v>48</v>
      </c>
      <c r="W44" s="25">
        <v>63</v>
      </c>
      <c r="X44" s="26">
        <v>79</v>
      </c>
    </row>
    <row r="45" spans="1:24" ht="13.5" thickBot="1">
      <c r="A45" s="28"/>
      <c r="B45" s="28"/>
      <c r="C45" s="28"/>
      <c r="D45" s="28"/>
      <c r="E45" s="90" t="s">
        <v>82</v>
      </c>
      <c r="F45" s="28"/>
      <c r="G45" s="28"/>
      <c r="H45" s="28"/>
      <c r="I45" s="28"/>
      <c r="J45" s="28"/>
      <c r="K45" s="28"/>
      <c r="L45" s="28"/>
      <c r="M45" s="28"/>
      <c r="N45" s="28"/>
      <c r="T45" s="27">
        <v>8</v>
      </c>
      <c r="U45" s="24">
        <v>33</v>
      </c>
      <c r="V45" s="25">
        <v>49</v>
      </c>
      <c r="W45" s="25">
        <v>64</v>
      </c>
      <c r="X45" s="26">
        <v>79</v>
      </c>
    </row>
    <row r="46" spans="1:24" ht="13.5" thickBo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T46" s="27">
        <v>10</v>
      </c>
      <c r="U46" s="24">
        <v>34</v>
      </c>
      <c r="V46" s="25">
        <v>49</v>
      </c>
      <c r="W46" s="25">
        <v>64</v>
      </c>
      <c r="X46" s="26">
        <v>79</v>
      </c>
    </row>
    <row r="47" spans="1:24" ht="13.5" thickBot="1">
      <c r="A47" s="28"/>
      <c r="B47" s="86" t="str">
        <f>+B1&amp;" 'deki kriterlere göre 1 paratoner ile korunabilen max mesafe "&amp;+F67&amp;" mt dir"</f>
        <v>LEVEL 3 'deki kriterlere göre 1 paratoner ile korunabilen max mesafe 99 mt dir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T47" s="31"/>
      <c r="U47" s="30"/>
      <c r="V47" s="30"/>
      <c r="W47" s="30"/>
      <c r="X47" s="30"/>
    </row>
    <row r="48" spans="1:24" ht="13.5" thickBot="1">
      <c r="A48" s="28"/>
      <c r="B48" s="86" t="str">
        <f>"En uygun Paratoner  :  ( "&amp;+G69&amp;" ) Paratoneri ~~~~~~ Direk boyu "&amp;+F69&amp;" mt "</f>
        <v>En uygun Paratoner  :  ( SE 6 ) Paratoneri ~~~~~~ Direk boyu 2 mt 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T48" s="31"/>
      <c r="U48" s="30"/>
      <c r="V48" s="30"/>
      <c r="W48" s="30"/>
      <c r="X48" s="30"/>
    </row>
    <row r="49" spans="1:24" ht="13.5" thickBot="1">
      <c r="A49" s="28"/>
      <c r="B49" s="86" t="str">
        <f>"Paratonerin Max koruması  "&amp;+I69&amp;" mt. dir"</f>
        <v>Paratonerin Max koruması  18 mt. dir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T49" s="31"/>
      <c r="U49" s="30"/>
      <c r="V49" s="30"/>
      <c r="W49" s="30"/>
      <c r="X49" s="30"/>
    </row>
    <row r="50" spans="2:9" ht="12.75">
      <c r="B50">
        <v>2</v>
      </c>
      <c r="C50" s="99" t="s">
        <v>134</v>
      </c>
      <c r="D50" s="100" t="s">
        <v>135</v>
      </c>
      <c r="E50" s="100" t="s">
        <v>136</v>
      </c>
      <c r="F50" s="101" t="s">
        <v>137</v>
      </c>
      <c r="G50" s="102"/>
      <c r="H50" s="103"/>
      <c r="I50" s="103"/>
    </row>
    <row r="51" spans="3:11" ht="12.75">
      <c r="C51" s="104">
        <v>18</v>
      </c>
      <c r="D51" s="105">
        <v>25</v>
      </c>
      <c r="E51" s="105">
        <v>32</v>
      </c>
      <c r="F51" s="106">
        <v>39</v>
      </c>
      <c r="G51" s="107"/>
      <c r="H51" s="108"/>
      <c r="I51" s="108"/>
      <c r="J51" s="32">
        <f>+E51-D51</f>
        <v>7</v>
      </c>
      <c r="K51" s="32">
        <f>+F51-E51</f>
        <v>7</v>
      </c>
    </row>
    <row r="52" spans="3:11" ht="13.5" thickBot="1">
      <c r="C52" s="109" t="str">
        <f>+IF($F$42&lt;=C51,C50,"")</f>
        <v>SE 6</v>
      </c>
      <c r="D52" s="110">
        <f>+IF(AND($F$42&lt;=D51,$F$42&gt;C51),D50,"")</f>
      </c>
      <c r="E52" s="110">
        <f>+IF(AND($F$42&lt;=E51,$F$42&gt;D51),E50,"")</f>
      </c>
      <c r="F52" s="111">
        <f>+IF(AND($F$42&lt;=F51,$F$42&gt;E51),F50,"")</f>
      </c>
      <c r="G52" s="112" t="str">
        <f>C52&amp;D52&amp;E52&amp;F52</f>
        <v>SE 6</v>
      </c>
      <c r="H52" s="113">
        <f>IF(C50=G52,11,IF(D50=G52,21,IF(E50=G52,31,IF(F50=G52,41,""))))</f>
        <v>11</v>
      </c>
      <c r="I52" s="113">
        <f>IF(C50=G52,C51,IF(D50=G52,D51,IF(E50=G52,E51,IF(F50=G52,F51,""))))</f>
        <v>18</v>
      </c>
      <c r="J52">
        <v>7</v>
      </c>
      <c r="K52">
        <v>7</v>
      </c>
    </row>
    <row r="53" spans="2:11" ht="13.5" thickBot="1">
      <c r="B53" s="12"/>
      <c r="C53" s="32"/>
      <c r="D53" s="32"/>
      <c r="E53" s="32"/>
      <c r="F53" s="32"/>
      <c r="G53" s="97"/>
      <c r="H53" s="98"/>
      <c r="I53" s="98"/>
      <c r="J53" s="32"/>
      <c r="K53" s="32"/>
    </row>
    <row r="54" spans="2:11" ht="12.75">
      <c r="B54">
        <v>4</v>
      </c>
      <c r="C54" s="99" t="s">
        <v>134</v>
      </c>
      <c r="D54" s="100" t="s">
        <v>135</v>
      </c>
      <c r="E54" s="100" t="s">
        <v>136</v>
      </c>
      <c r="F54" s="101" t="s">
        <v>137</v>
      </c>
      <c r="G54" s="114"/>
      <c r="H54" s="115"/>
      <c r="I54" s="115"/>
      <c r="J54" s="32"/>
      <c r="K54" s="32"/>
    </row>
    <row r="55" spans="3:11" ht="12.75">
      <c r="C55" s="116">
        <v>36</v>
      </c>
      <c r="D55" s="117">
        <v>51</v>
      </c>
      <c r="E55" s="117">
        <v>65</v>
      </c>
      <c r="F55" s="118">
        <v>78</v>
      </c>
      <c r="G55" s="119"/>
      <c r="H55" s="120"/>
      <c r="I55" s="120"/>
      <c r="J55" s="32">
        <f>+E55-D55</f>
        <v>14</v>
      </c>
      <c r="K55" s="32">
        <f>+F55-E55</f>
        <v>13</v>
      </c>
    </row>
    <row r="56" spans="3:11" ht="13.5" thickBot="1">
      <c r="C56" s="121" t="str">
        <f>+IF($F$42&lt;=C55,C54,"")</f>
        <v>SE 6</v>
      </c>
      <c r="D56" s="122">
        <f>+IF(AND($F$42&lt;=D55,$F$42&gt;C55),D54,"")</f>
      </c>
      <c r="E56" s="122">
        <f>+IF(AND($F$42&lt;=E55,$F$42&gt;D55),E54,"")</f>
      </c>
      <c r="F56" s="123">
        <f>+IF(AND($F$42&lt;=F55,$F$42&gt;E55),F54,"")</f>
      </c>
      <c r="G56" s="124" t="str">
        <f>C56&amp;D56&amp;E56&amp;F56</f>
        <v>SE 6</v>
      </c>
      <c r="H56" s="125">
        <f>IF(C54=G56,12,IF(D54=G56,22,IF(E54=G56,32,IF(F54=G56,42,""))))</f>
        <v>12</v>
      </c>
      <c r="I56" s="125">
        <f>IF(C54=G56,C55,IF(D54=G56,D55,IF(E54=G56,E55,IF(F54=G56,F55,""))))</f>
        <v>36</v>
      </c>
      <c r="J56" s="32">
        <v>14</v>
      </c>
      <c r="K56" s="32">
        <v>13</v>
      </c>
    </row>
    <row r="57" spans="3:11" ht="13.5" thickBot="1">
      <c r="C57" s="32"/>
      <c r="D57" s="32"/>
      <c r="E57" s="32"/>
      <c r="F57" s="32"/>
      <c r="G57" s="97"/>
      <c r="H57" s="98"/>
      <c r="I57" s="98"/>
      <c r="J57" s="32"/>
      <c r="K57" s="32"/>
    </row>
    <row r="58" spans="2:11" ht="12.75">
      <c r="B58">
        <v>6</v>
      </c>
      <c r="C58" s="99" t="s">
        <v>134</v>
      </c>
      <c r="D58" s="100" t="s">
        <v>135</v>
      </c>
      <c r="E58" s="100" t="s">
        <v>136</v>
      </c>
      <c r="F58" s="101" t="s">
        <v>137</v>
      </c>
      <c r="G58" s="126"/>
      <c r="H58" s="127"/>
      <c r="I58" s="127"/>
      <c r="J58" s="32"/>
      <c r="K58" s="32"/>
    </row>
    <row r="59" spans="3:11" ht="12.75">
      <c r="C59" s="128">
        <v>46</v>
      </c>
      <c r="D59" s="129">
        <v>64</v>
      </c>
      <c r="E59" s="129">
        <v>81</v>
      </c>
      <c r="F59" s="130">
        <v>97</v>
      </c>
      <c r="G59" s="131"/>
      <c r="H59" s="132"/>
      <c r="I59" s="132"/>
      <c r="J59" s="32">
        <f>+E59-D59</f>
        <v>17</v>
      </c>
      <c r="K59" s="32">
        <f>+F59-E59</f>
        <v>16</v>
      </c>
    </row>
    <row r="60" spans="3:11" ht="13.5" thickBot="1">
      <c r="C60" s="133" t="str">
        <f>+IF($F$42&lt;=C59,C58,"")</f>
        <v>SE 6</v>
      </c>
      <c r="D60" s="134">
        <f>+IF(AND($F$42&lt;=D59,$F$42&gt;C59),D58,"")</f>
      </c>
      <c r="E60" s="134">
        <f>+IF(AND($F$42&lt;=E59,$F$42&gt;D59),E58,"")</f>
      </c>
      <c r="F60" s="135">
        <f>+IF(AND($F$42&lt;=F59,$F$42&gt;E59),F58,"")</f>
      </c>
      <c r="G60" s="136" t="str">
        <f>C60&amp;D60&amp;E60&amp;F60</f>
        <v>SE 6</v>
      </c>
      <c r="H60" s="137">
        <f>IF(C58=G60,13,IF(D58=G60,23,IF(E58=G60,33,IF(F58=G60,43,""))))</f>
        <v>13</v>
      </c>
      <c r="I60" s="137">
        <f>IF(C58=G60,C59,IF(D58=G60,D59,IF(E58=G60,E59,IF(F58=G60,F59,""))))</f>
        <v>46</v>
      </c>
      <c r="J60" s="32">
        <v>17</v>
      </c>
      <c r="K60" s="32">
        <v>16</v>
      </c>
    </row>
    <row r="61" spans="3:11" ht="13.5" thickBot="1">
      <c r="C61" s="32"/>
      <c r="D61" s="32"/>
      <c r="E61" s="32"/>
      <c r="F61" s="32"/>
      <c r="G61" s="97"/>
      <c r="H61" s="98"/>
      <c r="I61" s="98"/>
      <c r="J61" s="32"/>
      <c r="K61" s="32"/>
    </row>
    <row r="62" spans="2:11" ht="12.75">
      <c r="B62">
        <v>8</v>
      </c>
      <c r="C62" s="99" t="s">
        <v>134</v>
      </c>
      <c r="D62" s="100" t="s">
        <v>135</v>
      </c>
      <c r="E62" s="100" t="s">
        <v>136</v>
      </c>
      <c r="F62" s="101" t="s">
        <v>137</v>
      </c>
      <c r="G62" s="138"/>
      <c r="H62" s="139"/>
      <c r="I62" s="139"/>
      <c r="J62" s="32"/>
      <c r="K62" s="32"/>
    </row>
    <row r="63" spans="3:11" ht="12.75">
      <c r="C63" s="140">
        <v>47</v>
      </c>
      <c r="D63" s="141">
        <v>65</v>
      </c>
      <c r="E63" s="141">
        <v>82</v>
      </c>
      <c r="F63" s="142">
        <v>98</v>
      </c>
      <c r="G63" s="143"/>
      <c r="H63" s="144"/>
      <c r="I63" s="144"/>
      <c r="J63" s="32">
        <f>+E63-D63</f>
        <v>17</v>
      </c>
      <c r="K63" s="32">
        <f>+F63-E63</f>
        <v>16</v>
      </c>
    </row>
    <row r="64" spans="3:11" ht="13.5" thickBot="1">
      <c r="C64" s="145" t="str">
        <f>+IF($F$42&lt;=C63,C62,"")</f>
        <v>SE 6</v>
      </c>
      <c r="D64" s="146">
        <f>+IF(AND($F$42&lt;=D63,$F$42&gt;C63),D62,"")</f>
      </c>
      <c r="E64" s="146">
        <f>+IF(AND($F$42&lt;=E63,$F$42&gt;D63),E62,"")</f>
      </c>
      <c r="F64" s="147">
        <f>+IF(AND($F$42&lt;=F63,$F$42&gt;E63),F62,"")</f>
      </c>
      <c r="G64" s="148" t="str">
        <f>C64&amp;D64&amp;E64&amp;F64</f>
        <v>SE 6</v>
      </c>
      <c r="H64" s="149">
        <f>IF(C62=G64,14,IF(D62=G64,24,IF(E62=G64,34,IF(F62=G64,44,""))))</f>
        <v>14</v>
      </c>
      <c r="I64" s="149">
        <f>IF(C62=G64,C63,IF(D62=G64,D63,IF(E62=G64,E63,IF(F62=G64,F63,""))))</f>
        <v>47</v>
      </c>
      <c r="J64" s="32">
        <v>17</v>
      </c>
      <c r="K64" s="32">
        <v>16</v>
      </c>
    </row>
    <row r="65" spans="3:11" ht="13.5" thickBot="1">
      <c r="C65" s="32"/>
      <c r="D65" s="32"/>
      <c r="E65" s="32"/>
      <c r="F65" s="32"/>
      <c r="G65" s="97"/>
      <c r="H65" s="98"/>
      <c r="I65" s="98"/>
      <c r="J65" s="32"/>
      <c r="K65" s="32"/>
    </row>
    <row r="66" spans="2:11" ht="12.75">
      <c r="B66">
        <v>10</v>
      </c>
      <c r="C66" s="99" t="s">
        <v>134</v>
      </c>
      <c r="D66" s="100" t="s">
        <v>135</v>
      </c>
      <c r="E66" s="100" t="s">
        <v>136</v>
      </c>
      <c r="F66" s="101" t="s">
        <v>137</v>
      </c>
      <c r="G66" s="150"/>
      <c r="H66" s="151"/>
      <c r="I66" s="151"/>
      <c r="J66" s="32"/>
      <c r="K66" s="32"/>
    </row>
    <row r="67" spans="3:11" ht="12.75">
      <c r="C67" s="152">
        <v>49</v>
      </c>
      <c r="D67" s="153">
        <v>66</v>
      </c>
      <c r="E67" s="153">
        <v>83</v>
      </c>
      <c r="F67" s="154">
        <v>99</v>
      </c>
      <c r="G67" s="155"/>
      <c r="H67" s="156"/>
      <c r="I67" s="156"/>
      <c r="J67" s="32">
        <f>+E67-D67</f>
        <v>17</v>
      </c>
      <c r="K67" s="32">
        <f>+F67-E67</f>
        <v>16</v>
      </c>
    </row>
    <row r="68" spans="3:11" ht="13.5" thickBot="1">
      <c r="C68" s="157" t="str">
        <f>+IF($F$42&lt;=C67,C66,"")</f>
        <v>SE 6</v>
      </c>
      <c r="D68" s="158">
        <f>+IF(AND($F$42&lt;=D67,$F$42&gt;C67),D66,"")</f>
      </c>
      <c r="E68" s="158">
        <f>+IF(AND($F$42&lt;=E67,$F$42&gt;D67),E66,"")</f>
      </c>
      <c r="F68" s="159">
        <f>+IF(AND($F$42&lt;=F67,$F$42&gt;E67),F66,"")</f>
      </c>
      <c r="G68" s="160" t="str">
        <f>C68&amp;D68&amp;E68&amp;F68</f>
        <v>SE 6</v>
      </c>
      <c r="H68" s="161">
        <f>IF(C66=G68,15,IF(D66=G68,25,IF(E66=G68,35,IF(F66=G68,45,""))))</f>
        <v>15</v>
      </c>
      <c r="I68" s="161">
        <f>IF(C66=G68,C67,IF(D66=G68,D67,IF(E66=G68,E67,IF(F66=G68,F67,""))))</f>
        <v>49</v>
      </c>
      <c r="J68">
        <v>17</v>
      </c>
      <c r="K68">
        <v>16</v>
      </c>
    </row>
    <row r="69" spans="3:11" ht="13.5" thickBot="1">
      <c r="C69" s="32"/>
      <c r="D69" s="32"/>
      <c r="E69" s="32"/>
      <c r="F69" s="162">
        <f>IF(H52=H69,B50,IF(H56=H69,B54,IF(H60=H69,B58,IF(H64=H69,B62,IF(H68=H69,B66,"")))))</f>
        <v>2</v>
      </c>
      <c r="G69" s="162" t="str">
        <f>IF(H52=H69,G52,IF(H56=H69,G56,IF(H60=H69,G60,IF(H64=H69,G64,IF(H68=H69,G68,"")))))</f>
        <v>SE 6</v>
      </c>
      <c r="H69" s="96">
        <f>MIN(H52:H68)</f>
        <v>11</v>
      </c>
      <c r="I69" s="96">
        <f>IF(H52=H69,I52,IF(H56=H69,I56,IF(H60=H69,I60,IF(H64=H69,I64,IF(H68=H69,I68,"")))))</f>
        <v>18</v>
      </c>
      <c r="K69" s="32">
        <f>+F67-C51</f>
        <v>81</v>
      </c>
    </row>
    <row r="71" spans="6:8" ht="12.75">
      <c r="F71" s="12"/>
      <c r="G71" s="12"/>
      <c r="H71" s="12"/>
    </row>
  </sheetData>
  <sheetProtection password="CF7A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171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7.00390625" style="0" customWidth="1"/>
    <col min="4" max="4" width="6.00390625" style="0" customWidth="1"/>
    <col min="5" max="5" width="8.421875" style="0" customWidth="1"/>
  </cols>
  <sheetData>
    <row r="1" spans="1:17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28"/>
      <c r="B2" s="376" t="s">
        <v>0</v>
      </c>
      <c r="C2" s="370"/>
      <c r="D2" s="370"/>
      <c r="E2" s="37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" thickBot="1">
      <c r="A3" s="28"/>
      <c r="B3" s="372" t="s">
        <v>73</v>
      </c>
      <c r="C3" s="377"/>
      <c r="D3" s="377"/>
      <c r="E3" s="378"/>
      <c r="F3" s="16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3.25">
      <c r="A4" s="212" t="str">
        <f>IF(ANASAYFA!H11=0,"                BİNA BOYUTLARINI GİRMEDİNİZ LÜTFEN ANA SAYFAYA DÖNÜP BİLGİLERİ GİRİNİZ","")</f>
        <v>                BİNA BOYUTLARINI GİRMEDİNİZ LÜTFEN ANA SAYFAYA DÖNÜP BİLGİLERİ GİRİNİZ</v>
      </c>
      <c r="B4" s="173"/>
      <c r="C4" s="170"/>
      <c r="D4" s="170"/>
      <c r="E4" s="169"/>
      <c r="F4" s="171"/>
      <c r="G4" s="169"/>
      <c r="H4" s="169"/>
      <c r="I4" s="28"/>
      <c r="J4" s="28"/>
      <c r="K4" s="28"/>
      <c r="L4" s="28"/>
      <c r="M4" s="28"/>
      <c r="N4" s="28"/>
      <c r="O4" s="28"/>
      <c r="P4" s="28"/>
      <c r="Q4" s="28"/>
    </row>
    <row r="5" spans="1:17" ht="23.25">
      <c r="A5" s="169"/>
      <c r="B5" s="57"/>
      <c r="C5" s="55"/>
      <c r="D5" s="56"/>
      <c r="E5" s="225"/>
      <c r="F5" s="171"/>
      <c r="G5" s="169"/>
      <c r="H5" s="169"/>
      <c r="I5" s="28"/>
      <c r="J5" s="28"/>
      <c r="K5" s="28"/>
      <c r="L5" s="28"/>
      <c r="M5" s="28"/>
      <c r="N5" s="28"/>
      <c r="O5" s="28"/>
      <c r="P5" s="28"/>
      <c r="Q5" s="28"/>
    </row>
    <row r="6" spans="1:17" ht="23.25">
      <c r="A6" s="169"/>
      <c r="B6" s="62"/>
      <c r="C6" s="63"/>
      <c r="D6" s="64"/>
      <c r="E6" s="225"/>
      <c r="F6" s="171"/>
      <c r="G6" s="169"/>
      <c r="H6" s="169"/>
      <c r="I6" s="28"/>
      <c r="J6" s="28"/>
      <c r="K6" s="28"/>
      <c r="L6" s="28"/>
      <c r="M6" s="28"/>
      <c r="N6" s="28"/>
      <c r="O6" s="28"/>
      <c r="P6" s="28"/>
      <c r="Q6" s="28"/>
    </row>
    <row r="7" spans="1:17" ht="23.25">
      <c r="A7" s="169"/>
      <c r="B7" s="57"/>
      <c r="C7" s="58"/>
      <c r="D7" s="59"/>
      <c r="E7" s="225"/>
      <c r="F7" s="171"/>
      <c r="G7" s="169"/>
      <c r="H7" s="169"/>
      <c r="I7" s="28"/>
      <c r="J7" s="28"/>
      <c r="K7" s="28"/>
      <c r="L7" s="28"/>
      <c r="M7" s="28"/>
      <c r="N7" s="28"/>
      <c r="O7" s="28"/>
      <c r="P7" s="28"/>
      <c r="Q7" s="28"/>
    </row>
    <row r="8" spans="1:17" ht="23.25">
      <c r="A8" s="169"/>
      <c r="B8" s="62"/>
      <c r="C8" s="60"/>
      <c r="D8" s="61"/>
      <c r="E8" s="225"/>
      <c r="F8" s="171"/>
      <c r="G8" s="169"/>
      <c r="H8" s="169"/>
      <c r="I8" s="28"/>
      <c r="J8" s="28"/>
      <c r="K8" s="28"/>
      <c r="L8" s="28"/>
      <c r="M8" s="28"/>
      <c r="N8" s="28"/>
      <c r="O8" s="28"/>
      <c r="P8" s="28"/>
      <c r="Q8" s="28"/>
    </row>
    <row r="9" spans="1:17" ht="15.75">
      <c r="A9" s="169"/>
      <c r="B9" s="172"/>
      <c r="C9" s="172"/>
      <c r="D9" s="172"/>
      <c r="E9" s="169"/>
      <c r="F9" s="169"/>
      <c r="G9" s="169"/>
      <c r="H9" s="169"/>
      <c r="I9" s="28"/>
      <c r="J9" s="28"/>
      <c r="K9" s="28"/>
      <c r="L9" s="28"/>
      <c r="M9" s="28"/>
      <c r="N9" s="28"/>
      <c r="O9" s="28"/>
      <c r="P9" s="28"/>
      <c r="Q9" s="28"/>
    </row>
    <row r="10" spans="1:17" ht="15.75">
      <c r="A10" s="169"/>
      <c r="B10" s="173"/>
      <c r="C10" s="172"/>
      <c r="D10" s="172"/>
      <c r="E10" s="169"/>
      <c r="F10" s="169"/>
      <c r="G10" s="169"/>
      <c r="H10" s="169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>
      <c r="A11" s="169"/>
      <c r="B11" s="173"/>
      <c r="C11" s="173"/>
      <c r="D11" s="173"/>
      <c r="E11" s="169"/>
      <c r="F11" s="169"/>
      <c r="G11" s="169"/>
      <c r="H11" s="169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169"/>
      <c r="B12" s="169"/>
      <c r="C12" s="169"/>
      <c r="D12" s="169"/>
      <c r="E12" s="169"/>
      <c r="F12" s="169"/>
      <c r="G12" s="169"/>
      <c r="H12" s="169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3.5" thickBo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8.75" thickBot="1">
      <c r="A50" s="17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8.75" thickBot="1">
      <c r="A51" s="205">
        <f>IF(ANASAYFA!H11=0,0,IF(A50=1,0.25,IF(A50=2,0.5,IF(A50=3,1,IF(A50=4,2,0)))))</f>
        <v>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</row>
    <row r="90" spans="1:17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</row>
    <row r="95" spans="1:17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  <row r="96" spans="1:17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</row>
    <row r="101" spans="1:17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7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  <row r="108" spans="1:17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</row>
    <row r="113" spans="1:17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</row>
    <row r="115" spans="1:17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</row>
    <row r="118" spans="1:17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</row>
    <row r="132" spans="1:17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</row>
    <row r="148" spans="1:17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</row>
    <row r="151" spans="1:17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1:17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1:17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1:17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1:17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1:17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1:17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1:17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1:17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</sheetData>
  <sheetProtection password="CF7A" sheet="1" objects="1" scenarios="1"/>
  <mergeCells count="2">
    <mergeCell ref="B2:E2"/>
    <mergeCell ref="B3:E3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3"/>
  <dimension ref="A1:X79"/>
  <sheetViews>
    <sheetView showRowColHeaders="0"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2" width="74.421875" style="0" customWidth="1"/>
    <col min="3" max="4" width="13.8515625" style="0" bestFit="1" customWidth="1"/>
    <col min="5" max="5" width="20.140625" style="0" bestFit="1" customWidth="1"/>
    <col min="6" max="6" width="13.7109375" style="0" customWidth="1"/>
    <col min="7" max="7" width="10.7109375" style="0" customWidth="1"/>
    <col min="8" max="9" width="6.8515625" style="0" customWidth="1"/>
  </cols>
  <sheetData>
    <row r="1" spans="1:17" ht="19.5" thickBot="1">
      <c r="A1" s="238"/>
      <c r="B1" s="232" t="s">
        <v>117</v>
      </c>
      <c r="C1" s="210"/>
      <c r="D1" s="21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10"/>
      <c r="B2" s="231"/>
      <c r="C2" s="210"/>
      <c r="D2" s="21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.75">
      <c r="A3" s="210"/>
      <c r="B3" s="231"/>
      <c r="C3" s="210"/>
      <c r="D3" s="21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2.75">
      <c r="A4" s="210"/>
      <c r="B4" s="231"/>
      <c r="C4" s="210"/>
      <c r="D4" s="21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75">
      <c r="A5" s="210"/>
      <c r="B5" s="231"/>
      <c r="C5" s="210"/>
      <c r="D5" s="21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2.75">
      <c r="A6" s="210"/>
      <c r="B6" s="231"/>
      <c r="C6" s="210"/>
      <c r="D6" s="21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10"/>
      <c r="B7" s="231"/>
      <c r="C7" s="210"/>
      <c r="D7" s="21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3.5" thickBot="1">
      <c r="A8" s="210"/>
      <c r="B8" s="231"/>
      <c r="C8" s="210"/>
      <c r="D8" s="21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9.5" thickBot="1">
      <c r="A9" s="210"/>
      <c r="B9" s="233" t="str">
        <f>IF(B1=SONUÇ!X21,"","DİKKAT YANLIŞ LEVEL SAYFASINDASINIZ !!!")</f>
        <v>DİKKAT YANLIŞ LEVEL SAYFASINDASINIZ !!!</v>
      </c>
      <c r="C9" s="210"/>
      <c r="D9" s="21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3.5" thickBot="1">
      <c r="A10" s="210"/>
      <c r="B10" s="236"/>
      <c r="C10" s="210"/>
      <c r="D10" s="21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3.5" thickBot="1">
      <c r="A11" s="210"/>
      <c r="B11" s="237">
        <f>IF(B1=SONUÇ!X21,"Aşağıdaki paratonerleri ekonomik olmamakla birlikte zorunlu ise seçebilirsiniz","")</f>
      </c>
      <c r="C11" s="210"/>
      <c r="D11" s="21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3.5" thickBot="1">
      <c r="A12" s="210"/>
      <c r="B12" s="230">
        <f>IF(+G52="","",IF(H52=H69,"",IF(B1=SONUÇ!X21,+B50&amp;"  mt'lik direk"&amp;" üzerine ("&amp;+G52&amp;") paratoneri. ( Max. Koruma : "&amp;+I52&amp;" mt )","")))</f>
      </c>
      <c r="C12" s="210"/>
      <c r="D12" s="21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3.5" thickBot="1">
      <c r="A13" s="210"/>
      <c r="B13" s="230">
        <f>IF(+G56="","",IF(H56=H69,"",IF(B1=SONUÇ!X21,+B54&amp;"  mt'lik direk"&amp;" üzerine ("&amp;+G56&amp;") paratoneri. ( Max. Koruma : "&amp;+I56&amp;" mt )","")))</f>
      </c>
      <c r="C13" s="210"/>
      <c r="D13" s="21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3.5" thickBot="1">
      <c r="A14" s="210"/>
      <c r="B14" s="230">
        <f>IF(+G60="","",IF(H60=H69,"",IF(B1=SONUÇ!X21,+B58&amp;" mt'lik direk"&amp;" üzerine ("&amp;+G60&amp;") paratoneri. ( Max. Koruma : "&amp;+I60&amp;" mt )","")))</f>
      </c>
      <c r="C14" s="210"/>
      <c r="D14" s="21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3.5" thickBot="1">
      <c r="A15" s="210"/>
      <c r="B15" s="230">
        <f>IF(+G64="","",IF(H64=H69,"",IF(B1=SONUÇ!X21,+B62&amp;" mt'lik direk"&amp;" üzerine ("&amp;+G64&amp;") paratoneri. ( Max. Koruma : "&amp;+I64&amp;" mt )","")))</f>
      </c>
      <c r="C15" s="210"/>
      <c r="D15" s="21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3.5" thickBot="1">
      <c r="A16" s="210"/>
      <c r="B16" s="230">
        <f>IF(+G68="","",IF(H68=H69,"",IF(B1=SONUÇ!X21,+B66&amp;" mt'lik direk"&amp;" üzerine ("&amp;+G68&amp;") paratoneri. ( Max. Koruma : "&amp;+I68&amp;" mt )","")))</f>
      </c>
      <c r="C16" s="210"/>
      <c r="D16" s="21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210"/>
      <c r="B17" s="210"/>
      <c r="C17" s="210"/>
      <c r="D17" s="21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210"/>
      <c r="B18" s="210"/>
      <c r="C18" s="210"/>
      <c r="D18" s="21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10"/>
      <c r="B19" s="210"/>
      <c r="C19" s="210"/>
      <c r="D19" s="21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210"/>
      <c r="B20" s="210"/>
      <c r="C20" s="210"/>
      <c r="D20" s="21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10"/>
      <c r="B21" s="210"/>
      <c r="C21" s="210"/>
      <c r="D21" s="2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10"/>
      <c r="B22" s="210"/>
      <c r="C22" s="210"/>
      <c r="D22" s="2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10"/>
      <c r="B23" s="210"/>
      <c r="C23" s="210"/>
      <c r="D23" s="2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10"/>
      <c r="B24" s="210"/>
      <c r="C24" s="210"/>
      <c r="D24" s="21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10"/>
      <c r="B25" s="210"/>
      <c r="C25" s="210"/>
      <c r="D25" s="21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210"/>
      <c r="B26" s="210"/>
      <c r="C26" s="210"/>
      <c r="D26" s="21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10"/>
      <c r="B27" s="210"/>
      <c r="C27" s="210"/>
      <c r="D27" s="21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10"/>
      <c r="B28" s="210"/>
      <c r="C28" s="210"/>
      <c r="D28" s="2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10"/>
      <c r="B29" s="210"/>
      <c r="C29" s="210"/>
      <c r="D29" s="21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10"/>
      <c r="B30" s="210"/>
      <c r="C30" s="210"/>
      <c r="D30" s="21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10"/>
      <c r="B31" s="210"/>
      <c r="C31" s="210"/>
      <c r="D31" s="21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10"/>
      <c r="B32" s="210"/>
      <c r="C32" s="210"/>
      <c r="D32" s="21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10"/>
      <c r="B33" s="210"/>
      <c r="C33" s="210"/>
      <c r="D33" s="2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10"/>
      <c r="B34" s="210"/>
      <c r="C34" s="210"/>
      <c r="D34" s="2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210"/>
      <c r="B35" s="210"/>
      <c r="C35" s="210"/>
      <c r="D35" s="2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10"/>
      <c r="B36" s="210"/>
      <c r="C36" s="210"/>
      <c r="D36" s="2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10"/>
      <c r="B37" s="210"/>
      <c r="C37" s="210"/>
      <c r="D37" s="21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10"/>
      <c r="B38" s="210"/>
      <c r="C38" s="210"/>
      <c r="D38" s="21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3.5" thickBot="1">
      <c r="A39" s="210"/>
      <c r="B39" s="210"/>
      <c r="C39" s="210"/>
      <c r="D39" s="21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10"/>
      <c r="B40" s="210"/>
      <c r="C40" s="210"/>
      <c r="D40" s="210"/>
      <c r="E40" s="75" t="s">
        <v>83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3.5" thickBot="1">
      <c r="A41" s="210"/>
      <c r="B41" s="210"/>
      <c r="C41" s="210"/>
      <c r="D41" s="210"/>
      <c r="E41" s="76" t="s">
        <v>78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3.5" thickBot="1">
      <c r="A42" s="28"/>
      <c r="B42" s="28"/>
      <c r="C42" s="28"/>
      <c r="D42" s="28"/>
      <c r="E42" s="76" t="s">
        <v>79</v>
      </c>
      <c r="F42" s="78">
        <f>+koruma!J13</f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76" t="s">
        <v>80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24" ht="13.5" thickBot="1">
      <c r="A44" s="28"/>
      <c r="B44" s="28"/>
      <c r="C44" s="28"/>
      <c r="D44" s="28"/>
      <c r="E44" s="76" t="s">
        <v>81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T44" s="12" t="s">
        <v>57</v>
      </c>
      <c r="U44" s="2" t="s">
        <v>58</v>
      </c>
      <c r="V44" s="2" t="s">
        <v>59</v>
      </c>
      <c r="W44" s="2" t="s">
        <v>60</v>
      </c>
      <c r="X44" s="2" t="s">
        <v>61</v>
      </c>
    </row>
    <row r="45" spans="1:24" ht="13.5" thickBot="1">
      <c r="A45" s="28"/>
      <c r="B45" s="28"/>
      <c r="C45" s="28"/>
      <c r="D45" s="28"/>
      <c r="E45" s="77" t="s">
        <v>82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T45" s="23">
        <v>2</v>
      </c>
      <c r="U45" s="24">
        <v>13</v>
      </c>
      <c r="V45" s="25">
        <v>19</v>
      </c>
      <c r="W45" s="25">
        <v>25</v>
      </c>
      <c r="X45" s="26">
        <v>31</v>
      </c>
    </row>
    <row r="46" spans="1:24" ht="13.5" thickBo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T46" s="27">
        <v>4</v>
      </c>
      <c r="U46" s="24">
        <v>25</v>
      </c>
      <c r="V46" s="25">
        <v>38</v>
      </c>
      <c r="W46" s="25">
        <v>51</v>
      </c>
      <c r="X46" s="26">
        <v>63</v>
      </c>
    </row>
    <row r="47" spans="1:24" ht="13.5" thickBot="1">
      <c r="A47" s="28"/>
      <c r="B47" s="86" t="str">
        <f>+B1&amp;" 'deki kriterlere göre 1 paratoner ile korunabilen max mesafe "&amp;+F67&amp;" mt dir"</f>
        <v>LEVEL 4 'deki kriterlere göre 1 paratoner ile korunabilen max mesafe 109 mt dir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T47" s="27">
        <v>6</v>
      </c>
      <c r="U47" s="24">
        <v>32</v>
      </c>
      <c r="V47" s="25">
        <v>48</v>
      </c>
      <c r="W47" s="25">
        <v>63</v>
      </c>
      <c r="X47" s="26">
        <v>79</v>
      </c>
    </row>
    <row r="48" spans="1:24" ht="13.5" thickBot="1">
      <c r="A48" s="28"/>
      <c r="B48" s="86" t="str">
        <f>"En uygun Paratoner  :  ( "&amp;+G69&amp;" ) Paratoneri ~~~~~~ Direk boyu "&amp;+F69&amp;" mt "</f>
        <v>En uygun Paratoner  :  ( SE 6 ) Paratoneri ~~~~~~ Direk boyu 2 mt 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T48" s="27">
        <v>8</v>
      </c>
      <c r="U48" s="24">
        <v>33</v>
      </c>
      <c r="V48" s="25">
        <v>49</v>
      </c>
      <c r="W48" s="25">
        <v>64</v>
      </c>
      <c r="X48" s="26">
        <v>79</v>
      </c>
    </row>
    <row r="49" spans="1:24" ht="13.5" thickBot="1">
      <c r="A49" s="28"/>
      <c r="B49" s="86" t="str">
        <f>"Paratonerin Max koruması  "&amp;+I69&amp;" mt. dir"</f>
        <v>Paratonerin Max koruması  20 mt. dir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T49" s="27">
        <v>10</v>
      </c>
      <c r="U49" s="24">
        <v>34</v>
      </c>
      <c r="V49" s="25">
        <v>49</v>
      </c>
      <c r="W49" s="25">
        <v>64</v>
      </c>
      <c r="X49" s="26">
        <v>79</v>
      </c>
    </row>
    <row r="50" spans="2:12" ht="12.75">
      <c r="B50">
        <v>2</v>
      </c>
      <c r="C50" s="99" t="s">
        <v>134</v>
      </c>
      <c r="D50" s="100" t="s">
        <v>135</v>
      </c>
      <c r="E50" s="100" t="s">
        <v>136</v>
      </c>
      <c r="F50" s="101" t="s">
        <v>137</v>
      </c>
      <c r="G50" s="102"/>
      <c r="H50" s="103"/>
      <c r="I50" s="103"/>
      <c r="K50" s="32"/>
      <c r="L50" s="32"/>
    </row>
    <row r="51" spans="3:12" ht="12.75">
      <c r="C51" s="104">
        <v>20</v>
      </c>
      <c r="D51" s="105">
        <v>28</v>
      </c>
      <c r="E51" s="105">
        <v>36</v>
      </c>
      <c r="F51" s="106">
        <v>43</v>
      </c>
      <c r="G51" s="107"/>
      <c r="H51" s="108"/>
      <c r="I51" s="108"/>
      <c r="J51" s="32">
        <f>+E51-D51</f>
        <v>8</v>
      </c>
      <c r="K51" s="32">
        <f>+F51-E51</f>
        <v>7</v>
      </c>
      <c r="L51" s="32"/>
    </row>
    <row r="52" spans="3:12" ht="13.5" thickBot="1">
      <c r="C52" s="109" t="str">
        <f>+IF($F$42&lt;=C51,C50,"")</f>
        <v>SE 6</v>
      </c>
      <c r="D52" s="110">
        <f>+IF(AND($F$42&lt;=D51,$F$42&gt;C51),D50,"")</f>
      </c>
      <c r="E52" s="110">
        <f>+IF(AND($F$42&lt;=E51,$F$42&gt;D51),E50,"")</f>
      </c>
      <c r="F52" s="111">
        <f>+IF(AND($F$42&lt;=F51,$F$42&gt;E51),F50,"")</f>
      </c>
      <c r="G52" s="112" t="str">
        <f>C52&amp;D52&amp;E52&amp;F52</f>
        <v>SE 6</v>
      </c>
      <c r="H52" s="113">
        <f>IF(C50=G52,11,IF(D50=G52,21,IF(E50=G52,31,IF(F50=G52,41,""))))</f>
        <v>11</v>
      </c>
      <c r="I52" s="113">
        <f>IF(C50=G52,C51,IF(D50=G52,D51,IF(E50=G52,E51,IF(F50=G52,F51,""))))</f>
        <v>20</v>
      </c>
      <c r="J52" s="32"/>
      <c r="K52" s="32"/>
      <c r="L52" s="32"/>
    </row>
    <row r="53" spans="2:12" ht="13.5" thickBot="1">
      <c r="B53" s="12"/>
      <c r="C53" s="32"/>
      <c r="D53" s="32"/>
      <c r="E53" s="32"/>
      <c r="F53" s="32"/>
      <c r="G53" s="97"/>
      <c r="H53" s="98"/>
      <c r="I53" s="98"/>
      <c r="J53" s="32"/>
      <c r="K53" s="32"/>
      <c r="L53" s="32"/>
    </row>
    <row r="54" spans="2:12" ht="12.75">
      <c r="B54">
        <v>4</v>
      </c>
      <c r="C54" s="99" t="s">
        <v>134</v>
      </c>
      <c r="D54" s="100" t="s">
        <v>135</v>
      </c>
      <c r="E54" s="100" t="s">
        <v>136</v>
      </c>
      <c r="F54" s="101" t="s">
        <v>137</v>
      </c>
      <c r="G54" s="114"/>
      <c r="H54" s="115"/>
      <c r="I54" s="115"/>
      <c r="J54" s="32"/>
      <c r="K54" s="32"/>
      <c r="L54" s="32"/>
    </row>
    <row r="55" spans="3:12" ht="12.75">
      <c r="C55" s="116">
        <v>41</v>
      </c>
      <c r="D55" s="117">
        <v>57</v>
      </c>
      <c r="E55" s="117">
        <v>72</v>
      </c>
      <c r="F55" s="118">
        <v>85</v>
      </c>
      <c r="G55" s="119"/>
      <c r="H55" s="120"/>
      <c r="I55" s="120"/>
      <c r="J55" s="32">
        <f>+E55-D55</f>
        <v>15</v>
      </c>
      <c r="K55" s="32">
        <f>+F55-E55</f>
        <v>13</v>
      </c>
      <c r="L55" s="32"/>
    </row>
    <row r="56" spans="3:12" ht="13.5" thickBot="1">
      <c r="C56" s="121" t="str">
        <f>+IF($F$42&lt;=C55,C54,"")</f>
        <v>SE 6</v>
      </c>
      <c r="D56" s="122">
        <f>+IF(AND($F$42&lt;=D55,$F$42&gt;C55),D54,"")</f>
      </c>
      <c r="E56" s="122">
        <f>+IF(AND($F$42&lt;=E55,$F$42&gt;D55),E54,"")</f>
      </c>
      <c r="F56" s="123">
        <f>+IF(AND($F$42&lt;=F55,$F$42&gt;E55),F54,"")</f>
      </c>
      <c r="G56" s="124" t="str">
        <f>C56&amp;D56&amp;E56&amp;F56</f>
        <v>SE 6</v>
      </c>
      <c r="H56" s="125">
        <f>IF(C54=G56,12,IF(D54=G56,22,IF(E54=G56,32,IF(F54=G56,42,""))))</f>
        <v>12</v>
      </c>
      <c r="I56" s="125">
        <f>IF(C54=G56,C55,IF(D54=G56,D55,IF(E54=G56,E55,IF(F54=G56,F55,""))))</f>
        <v>41</v>
      </c>
      <c r="J56" s="32"/>
      <c r="K56" s="32"/>
      <c r="L56" s="32"/>
    </row>
    <row r="57" spans="3:12" ht="13.5" thickBot="1">
      <c r="C57" s="32"/>
      <c r="D57" s="32"/>
      <c r="E57" s="32"/>
      <c r="F57" s="32"/>
      <c r="G57" s="97"/>
      <c r="H57" s="98"/>
      <c r="I57" s="98"/>
      <c r="J57" s="32"/>
      <c r="K57" s="32"/>
      <c r="L57" s="32"/>
    </row>
    <row r="58" spans="2:12" ht="12.75">
      <c r="B58">
        <v>6</v>
      </c>
      <c r="C58" s="99" t="s">
        <v>134</v>
      </c>
      <c r="D58" s="100" t="s">
        <v>135</v>
      </c>
      <c r="E58" s="100" t="s">
        <v>136</v>
      </c>
      <c r="F58" s="101" t="s">
        <v>137</v>
      </c>
      <c r="G58" s="126"/>
      <c r="H58" s="127"/>
      <c r="I58" s="127"/>
      <c r="J58" s="32"/>
      <c r="K58" s="32"/>
      <c r="L58" s="32"/>
    </row>
    <row r="59" spans="3:12" ht="12.75">
      <c r="C59" s="128">
        <v>52</v>
      </c>
      <c r="D59" s="129">
        <v>72</v>
      </c>
      <c r="E59" s="129">
        <v>90</v>
      </c>
      <c r="F59" s="130">
        <v>107</v>
      </c>
      <c r="G59" s="131"/>
      <c r="H59" s="132"/>
      <c r="I59" s="132"/>
      <c r="J59" s="32">
        <f>+E59-D59</f>
        <v>18</v>
      </c>
      <c r="K59" s="32">
        <f>+F59-E59</f>
        <v>17</v>
      </c>
      <c r="L59" s="32"/>
    </row>
    <row r="60" spans="3:12" ht="13.5" thickBot="1">
      <c r="C60" s="133" t="str">
        <f>+IF($F$42&lt;=C59,C58,"")</f>
        <v>SE 6</v>
      </c>
      <c r="D60" s="134">
        <f>+IF(AND($F$42&lt;=D59,$F$42&gt;C59),D58,"")</f>
      </c>
      <c r="E60" s="134">
        <f>+IF(AND($F$42&lt;=E59,$F$42&gt;D59),E58,"")</f>
      </c>
      <c r="F60" s="135">
        <f>+IF(AND($F$42&lt;=F59,$F$42&gt;E59),F58,"")</f>
      </c>
      <c r="G60" s="136" t="str">
        <f>C60&amp;D60&amp;E60&amp;F60</f>
        <v>SE 6</v>
      </c>
      <c r="H60" s="137">
        <f>IF(C58=G60,13,IF(D58=G60,23,IF(E58=G60,33,IF(F58=G60,43,""))))</f>
        <v>13</v>
      </c>
      <c r="I60" s="137">
        <f>IF(C58=G60,C59,IF(D58=G60,D59,IF(E58=G60,E59,IF(F58=G60,F59,""))))</f>
        <v>52</v>
      </c>
      <c r="J60" s="32"/>
      <c r="K60" s="32"/>
      <c r="L60" s="32"/>
    </row>
    <row r="61" spans="3:12" ht="13.5" thickBot="1">
      <c r="C61" s="32"/>
      <c r="D61" s="32"/>
      <c r="E61" s="32"/>
      <c r="F61" s="32"/>
      <c r="G61" s="97"/>
      <c r="H61" s="98"/>
      <c r="I61" s="98"/>
      <c r="J61" s="32"/>
      <c r="K61" s="32"/>
      <c r="L61" s="32"/>
    </row>
    <row r="62" spans="2:12" ht="12.75">
      <c r="B62">
        <v>8</v>
      </c>
      <c r="C62" s="99" t="s">
        <v>134</v>
      </c>
      <c r="D62" s="100" t="s">
        <v>135</v>
      </c>
      <c r="E62" s="100" t="s">
        <v>136</v>
      </c>
      <c r="F62" s="101" t="s">
        <v>137</v>
      </c>
      <c r="G62" s="138"/>
      <c r="H62" s="139"/>
      <c r="I62" s="139"/>
      <c r="J62" s="32"/>
      <c r="K62" s="32"/>
      <c r="L62" s="32"/>
    </row>
    <row r="63" spans="3:12" ht="12.75">
      <c r="C63" s="140">
        <v>54</v>
      </c>
      <c r="D63" s="141">
        <v>73</v>
      </c>
      <c r="E63" s="141">
        <v>91</v>
      </c>
      <c r="F63" s="142">
        <v>108</v>
      </c>
      <c r="G63" s="143"/>
      <c r="H63" s="144"/>
      <c r="I63" s="144"/>
      <c r="J63" s="32">
        <f>+E63-D63</f>
        <v>18</v>
      </c>
      <c r="K63" s="32">
        <f>+F63-E63</f>
        <v>17</v>
      </c>
      <c r="L63" s="32"/>
    </row>
    <row r="64" spans="3:12" ht="13.5" thickBot="1">
      <c r="C64" s="145" t="str">
        <f>+IF($F$42&lt;=C63,C62,"")</f>
        <v>SE 6</v>
      </c>
      <c r="D64" s="146">
        <f>+IF(AND($F$42&lt;=D63,$F$42&gt;C63),D62,"")</f>
      </c>
      <c r="E64" s="146">
        <f>+IF(AND($F$42&lt;=E63,$F$42&gt;D63),E62,"")</f>
      </c>
      <c r="F64" s="147">
        <f>+IF(AND($F$42&lt;=F63,$F$42&gt;E63),F62,"")</f>
      </c>
      <c r="G64" s="148" t="str">
        <f>C64&amp;D64&amp;E64&amp;F64</f>
        <v>SE 6</v>
      </c>
      <c r="H64" s="149">
        <f>IF(C62=G64,14,IF(D62=G64,24,IF(E62=G64,34,IF(F62=G64,44,""))))</f>
        <v>14</v>
      </c>
      <c r="I64" s="149">
        <f>IF(C62=G64,C63,IF(D62=G64,D63,IF(E62=G64,E63,IF(F62=G64,F63,""))))</f>
        <v>54</v>
      </c>
      <c r="J64" s="32"/>
      <c r="K64" s="32"/>
      <c r="L64" s="32"/>
    </row>
    <row r="65" spans="3:12" ht="13.5" thickBot="1">
      <c r="C65" s="32"/>
      <c r="D65" s="32"/>
      <c r="E65" s="32"/>
      <c r="F65" s="32"/>
      <c r="G65" s="97"/>
      <c r="H65" s="98"/>
      <c r="I65" s="98"/>
      <c r="J65" s="32"/>
      <c r="K65" s="32"/>
      <c r="L65" s="32"/>
    </row>
    <row r="66" spans="2:12" ht="12.75">
      <c r="B66">
        <v>10</v>
      </c>
      <c r="C66" s="99" t="s">
        <v>134</v>
      </c>
      <c r="D66" s="100" t="s">
        <v>135</v>
      </c>
      <c r="E66" s="100" t="s">
        <v>136</v>
      </c>
      <c r="F66" s="101" t="s">
        <v>137</v>
      </c>
      <c r="G66" s="150"/>
      <c r="H66" s="151"/>
      <c r="I66" s="151"/>
      <c r="J66" s="32"/>
      <c r="K66" s="32"/>
      <c r="L66" s="32"/>
    </row>
    <row r="67" spans="3:12" ht="12.75">
      <c r="C67" s="152">
        <v>56</v>
      </c>
      <c r="D67" s="153">
        <v>75</v>
      </c>
      <c r="E67" s="153">
        <v>92</v>
      </c>
      <c r="F67" s="154">
        <v>109</v>
      </c>
      <c r="G67" s="155"/>
      <c r="H67" s="156"/>
      <c r="I67" s="156"/>
      <c r="J67" s="32">
        <f>+E67-D67</f>
        <v>17</v>
      </c>
      <c r="K67" s="32">
        <f>+F67-E67</f>
        <v>17</v>
      </c>
      <c r="L67" s="32"/>
    </row>
    <row r="68" spans="3:12" ht="13.5" thickBot="1">
      <c r="C68" s="157" t="str">
        <f>+IF($F$42&lt;=C67,C66,"")</f>
        <v>SE 6</v>
      </c>
      <c r="D68" s="158">
        <f>+IF(AND($F$42&lt;=D67,$F$42&gt;C67),D66,"")</f>
      </c>
      <c r="E68" s="158">
        <f>+IF(AND($F$42&lt;=E67,$F$42&gt;D67),E66,"")</f>
      </c>
      <c r="F68" s="159">
        <f>+IF(AND($F$42&lt;=F67,$F$42&gt;E67),F66,"")</f>
      </c>
      <c r="G68" s="160" t="str">
        <f>C68&amp;D68&amp;E68&amp;F68</f>
        <v>SE 6</v>
      </c>
      <c r="H68" s="161">
        <f>IF(C66=G68,15,IF(D66=G68,25,IF(E66=G68,35,IF(F66=G68,45,""))))</f>
        <v>15</v>
      </c>
      <c r="I68" s="161">
        <f>IF(C66=G68,C67,IF(D66=G68,D67,IF(E66=G68,E67,IF(F66=G68,F67,""))))</f>
        <v>56</v>
      </c>
      <c r="K68" s="32"/>
      <c r="L68" s="32"/>
    </row>
    <row r="69" spans="3:12" ht="13.5" thickBot="1">
      <c r="C69" s="32"/>
      <c r="D69" s="32"/>
      <c r="E69" s="32"/>
      <c r="F69" s="162">
        <f>IF(H52=H69,B50,IF(H56=H69,B54,IF(H60=H69,B58,IF(H64=H69,B62,IF(H68=H69,B66,"")))))</f>
        <v>2</v>
      </c>
      <c r="G69" s="162" t="str">
        <f>IF(H52=H69,G52,IF(H56=H69,G56,IF(H60=H69,G60,IF(H64=H69,G64,IF(H68=H69,G68,"")))))</f>
        <v>SE 6</v>
      </c>
      <c r="H69" s="96">
        <f>MIN(H52:H68)</f>
        <v>11</v>
      </c>
      <c r="I69" s="96">
        <f>IF(H52=H69,I52,IF(H56=H69,I56,IF(H60=H69,I60,IF(H64=H69,I64,IF(H68=H69,I68,"")))))</f>
        <v>20</v>
      </c>
      <c r="K69" s="32">
        <f>+F67-C51</f>
        <v>89</v>
      </c>
      <c r="L69" s="32"/>
    </row>
    <row r="70" spans="11:12" ht="12.75">
      <c r="K70" s="32"/>
      <c r="L70" s="32"/>
    </row>
    <row r="72" spans="11:12" ht="12.75">
      <c r="K72" s="32"/>
      <c r="L72" s="32"/>
    </row>
    <row r="73" spans="11:12" ht="12.75">
      <c r="K73" s="32"/>
      <c r="L73" s="32"/>
    </row>
    <row r="74" spans="11:12" ht="12.75">
      <c r="K74" s="32"/>
      <c r="L74" s="32"/>
    </row>
    <row r="75" spans="11:12" ht="12.75">
      <c r="K75" s="32"/>
      <c r="L75" s="32"/>
    </row>
    <row r="76" spans="11:12" ht="12.75">
      <c r="K76" s="32"/>
      <c r="L76" s="32"/>
    </row>
    <row r="77" spans="11:12" ht="12.75">
      <c r="K77" s="32"/>
      <c r="L77" s="32"/>
    </row>
    <row r="78" spans="11:12" ht="12.75">
      <c r="K78" s="32"/>
      <c r="L78" s="32"/>
    </row>
    <row r="79" spans="11:12" ht="12.75">
      <c r="K79" s="32"/>
      <c r="L79" s="32"/>
    </row>
  </sheetData>
  <sheetProtection password="CF7A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8"/>
  <dimension ref="B2:L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3:11" ht="12.75">
      <c r="C2" t="s">
        <v>26</v>
      </c>
      <c r="G2" s="1" t="s">
        <v>27</v>
      </c>
      <c r="H2" s="2">
        <f>K2+6*J18*K3+9*J20*K4</f>
        <v>13111.72512351933</v>
      </c>
      <c r="J2" t="s">
        <v>28</v>
      </c>
      <c r="K2" s="2">
        <f>J14*J16</f>
        <v>945</v>
      </c>
    </row>
    <row r="3" spans="7:11" ht="12.75">
      <c r="G3" s="3"/>
      <c r="J3" t="s">
        <v>28</v>
      </c>
      <c r="K3" s="2">
        <f>J14+J16</f>
        <v>64.5</v>
      </c>
    </row>
    <row r="4" spans="3:11" ht="12.75">
      <c r="C4" t="s">
        <v>29</v>
      </c>
      <c r="G4" s="1" t="s">
        <v>30</v>
      </c>
      <c r="H4" s="2">
        <f>H6*H2*L13/1000000</f>
        <v>0.006555862561759666</v>
      </c>
      <c r="J4" t="s">
        <v>31</v>
      </c>
      <c r="K4" s="2">
        <f>J18*J18</f>
        <v>225</v>
      </c>
    </row>
    <row r="5" spans="7:11" ht="12.75">
      <c r="G5" s="3"/>
      <c r="J5" t="s">
        <v>34</v>
      </c>
      <c r="K5" s="2">
        <f>H8/H4</f>
        <v>0.11185916825207187</v>
      </c>
    </row>
    <row r="6" spans="3:12" ht="12.75">
      <c r="C6" t="s">
        <v>32</v>
      </c>
      <c r="G6" s="1" t="s">
        <v>33</v>
      </c>
      <c r="H6" s="2">
        <v>2</v>
      </c>
      <c r="L6" t="s">
        <v>50</v>
      </c>
    </row>
    <row r="7" ht="12.75">
      <c r="G7" s="3"/>
    </row>
    <row r="8" spans="3:12" ht="12.75">
      <c r="C8" t="s">
        <v>35</v>
      </c>
      <c r="G8" s="1" t="s">
        <v>36</v>
      </c>
      <c r="H8" s="2">
        <f>5.5/1000/H10</f>
        <v>0.0007333333333333333</v>
      </c>
      <c r="L8" t="s">
        <v>51</v>
      </c>
    </row>
    <row r="9" ht="12.75">
      <c r="G9" s="3"/>
    </row>
    <row r="10" spans="3:8" ht="12.75">
      <c r="C10" t="s">
        <v>38</v>
      </c>
      <c r="G10" s="1" t="s">
        <v>39</v>
      </c>
      <c r="H10" s="2">
        <f>L15*L17*L19*L21</f>
        <v>7.5</v>
      </c>
    </row>
    <row r="11" spans="7:10" ht="12.75">
      <c r="G11" s="3"/>
      <c r="J11" t="s">
        <v>52</v>
      </c>
    </row>
    <row r="12" spans="3:8" ht="12.75">
      <c r="C12" t="s">
        <v>41</v>
      </c>
      <c r="G12" s="1" t="s">
        <v>42</v>
      </c>
      <c r="H12" s="2">
        <f>1-K5</f>
        <v>0.8881408317479281</v>
      </c>
    </row>
    <row r="13" spans="11:12" ht="12.75">
      <c r="K13" s="4" t="s">
        <v>37</v>
      </c>
      <c r="L13" s="5">
        <f>G16+G18+G20+G22</f>
        <v>0.25</v>
      </c>
    </row>
    <row r="14" spans="3:10" ht="13.5" thickBot="1">
      <c r="C14" s="3" t="s">
        <v>0</v>
      </c>
      <c r="I14" s="6" t="s">
        <v>44</v>
      </c>
      <c r="J14" s="5">
        <v>22.5</v>
      </c>
    </row>
    <row r="15" spans="2:12" ht="13.5" thickBot="1">
      <c r="B15" s="8" t="s">
        <v>1</v>
      </c>
      <c r="C15" s="9"/>
      <c r="D15" s="9"/>
      <c r="E15" s="9"/>
      <c r="F15" s="10"/>
      <c r="K15" s="4" t="s">
        <v>40</v>
      </c>
      <c r="L15" s="5">
        <f>F27+F28+F29</f>
        <v>1.5</v>
      </c>
    </row>
    <row r="16" spans="2:10" ht="13.5" thickBot="1">
      <c r="B16" s="11" t="s">
        <v>53</v>
      </c>
      <c r="C16" s="12"/>
      <c r="D16" s="12"/>
      <c r="E16" s="12"/>
      <c r="F16" s="13">
        <v>0.25</v>
      </c>
      <c r="G16" s="14">
        <v>0.25</v>
      </c>
      <c r="I16" s="6" t="s">
        <v>46</v>
      </c>
      <c r="J16" s="5">
        <v>42</v>
      </c>
    </row>
    <row r="17" spans="2:12" ht="13.5" thickBot="1">
      <c r="B17" s="15" t="s">
        <v>2</v>
      </c>
      <c r="C17" s="16"/>
      <c r="D17" s="16"/>
      <c r="E17" s="16"/>
      <c r="F17" s="17"/>
      <c r="K17" s="4" t="s">
        <v>43</v>
      </c>
      <c r="L17" s="5">
        <f>F33+F34+F35+F37</f>
        <v>1</v>
      </c>
    </row>
    <row r="18" spans="2:10" ht="13.5" thickBot="1">
      <c r="B18" s="18" t="s">
        <v>3</v>
      </c>
      <c r="C18" s="19"/>
      <c r="D18" s="19"/>
      <c r="E18" s="20"/>
      <c r="F18" s="13">
        <v>0.5</v>
      </c>
      <c r="G18" s="14"/>
      <c r="I18" s="6" t="s">
        <v>48</v>
      </c>
      <c r="J18" s="5">
        <v>15</v>
      </c>
    </row>
    <row r="19" spans="2:12" ht="13.5" thickBot="1">
      <c r="B19" s="8" t="s">
        <v>54</v>
      </c>
      <c r="C19" s="9"/>
      <c r="D19" s="9"/>
      <c r="E19" s="9"/>
      <c r="F19" s="10"/>
      <c r="K19" s="4" t="s">
        <v>45</v>
      </c>
      <c r="L19" s="5">
        <f>F42+F43+F44</f>
        <v>1</v>
      </c>
    </row>
    <row r="20" spans="2:10" ht="13.5" thickBot="1">
      <c r="B20" s="15" t="s">
        <v>55</v>
      </c>
      <c r="C20" s="16"/>
      <c r="D20" s="16"/>
      <c r="E20" s="16"/>
      <c r="F20" s="13">
        <v>1</v>
      </c>
      <c r="G20" s="14"/>
      <c r="I20" s="6" t="s">
        <v>49</v>
      </c>
      <c r="J20" s="7">
        <f>PI()</f>
        <v>3.141592653589793</v>
      </c>
    </row>
    <row r="21" spans="2:12" ht="13.5" thickBot="1">
      <c r="B21" s="8" t="s">
        <v>4</v>
      </c>
      <c r="C21" s="9"/>
      <c r="D21" s="9"/>
      <c r="E21" s="9"/>
      <c r="F21" s="10"/>
      <c r="K21" s="4" t="s">
        <v>47</v>
      </c>
      <c r="L21" s="5">
        <f>F49+F51+F52</f>
        <v>5</v>
      </c>
    </row>
    <row r="22" spans="2:7" ht="13.5" thickBot="1">
      <c r="B22" s="15" t="s">
        <v>5</v>
      </c>
      <c r="C22" s="16"/>
      <c r="D22" s="16"/>
      <c r="E22" s="16"/>
      <c r="F22" s="13">
        <v>2</v>
      </c>
      <c r="G22" s="14"/>
    </row>
    <row r="25" ht="12.75">
      <c r="C25" s="3" t="s">
        <v>6</v>
      </c>
    </row>
    <row r="26" spans="2:5" ht="13.5" thickBot="1">
      <c r="B26" s="21" t="s">
        <v>56</v>
      </c>
      <c r="C26" s="21" t="s">
        <v>7</v>
      </c>
      <c r="D26" s="21" t="s">
        <v>8</v>
      </c>
      <c r="E26" s="21" t="s">
        <v>9</v>
      </c>
    </row>
    <row r="27" spans="2:6" ht="13.5" thickBot="1">
      <c r="B27" s="18" t="s">
        <v>7</v>
      </c>
      <c r="C27" s="13">
        <v>0.5</v>
      </c>
      <c r="D27" s="19">
        <v>1</v>
      </c>
      <c r="E27" s="13">
        <v>2</v>
      </c>
      <c r="F27" s="14"/>
    </row>
    <row r="28" spans="2:6" ht="13.5" thickBot="1">
      <c r="B28" s="15" t="s">
        <v>8</v>
      </c>
      <c r="C28" s="22">
        <v>1</v>
      </c>
      <c r="D28" s="16">
        <v>1.5</v>
      </c>
      <c r="E28" s="22">
        <v>2.5</v>
      </c>
      <c r="F28" s="14">
        <v>1.5</v>
      </c>
    </row>
    <row r="29" spans="2:6" ht="13.5" thickBot="1">
      <c r="B29" s="15" t="s">
        <v>9</v>
      </c>
      <c r="C29" s="22">
        <v>2</v>
      </c>
      <c r="D29" s="16">
        <v>2.5</v>
      </c>
      <c r="E29" s="22">
        <v>3</v>
      </c>
      <c r="F29" s="14"/>
    </row>
    <row r="32" ht="13.5" thickBot="1">
      <c r="C32" s="3" t="s">
        <v>10</v>
      </c>
    </row>
    <row r="33" spans="2:6" ht="13.5" thickBot="1">
      <c r="B33" s="18" t="s">
        <v>11</v>
      </c>
      <c r="C33" s="19"/>
      <c r="D33" s="19"/>
      <c r="E33" s="13">
        <v>0.5</v>
      </c>
      <c r="F33" s="14"/>
    </row>
    <row r="34" spans="2:6" ht="13.5" thickBot="1">
      <c r="B34" s="18" t="s">
        <v>12</v>
      </c>
      <c r="C34" s="19"/>
      <c r="D34" s="19"/>
      <c r="E34" s="13">
        <v>1</v>
      </c>
      <c r="F34" s="14">
        <v>1</v>
      </c>
    </row>
    <row r="35" spans="2:6" ht="13.5" thickBot="1">
      <c r="B35" s="18" t="s">
        <v>13</v>
      </c>
      <c r="C35" s="19"/>
      <c r="D35" s="19"/>
      <c r="E35" s="13">
        <v>2</v>
      </c>
      <c r="F35" s="14"/>
    </row>
    <row r="36" spans="2:5" ht="13.5" thickBot="1">
      <c r="B36" s="8" t="s">
        <v>14</v>
      </c>
      <c r="C36" s="9"/>
      <c r="D36" s="9"/>
      <c r="E36" s="10"/>
    </row>
    <row r="37" spans="2:6" ht="13.5" thickBot="1">
      <c r="B37" s="11" t="s">
        <v>15</v>
      </c>
      <c r="C37" s="12"/>
      <c r="D37" s="12"/>
      <c r="E37" s="13">
        <v>3</v>
      </c>
      <c r="F37" s="14"/>
    </row>
    <row r="38" spans="2:5" ht="13.5" thickBot="1">
      <c r="B38" s="15" t="s">
        <v>16</v>
      </c>
      <c r="C38" s="16"/>
      <c r="D38" s="16"/>
      <c r="E38" s="17"/>
    </row>
    <row r="41" ht="13.5" thickBot="1">
      <c r="C41" s="3" t="s">
        <v>17</v>
      </c>
    </row>
    <row r="42" spans="2:6" ht="13.5" thickBot="1">
      <c r="B42" s="18" t="s">
        <v>18</v>
      </c>
      <c r="C42" s="19"/>
      <c r="D42" s="19"/>
      <c r="E42" s="13">
        <v>0.15</v>
      </c>
      <c r="F42" s="14"/>
    </row>
    <row r="43" spans="2:6" ht="13.5" thickBot="1">
      <c r="B43" s="11" t="s">
        <v>19</v>
      </c>
      <c r="C43" s="12"/>
      <c r="D43" s="12"/>
      <c r="E43" s="13">
        <v>1</v>
      </c>
      <c r="F43" s="14">
        <v>1</v>
      </c>
    </row>
    <row r="44" spans="2:6" ht="13.5" thickBot="1">
      <c r="B44" s="18" t="s">
        <v>20</v>
      </c>
      <c r="C44" s="19"/>
      <c r="D44" s="19"/>
      <c r="E44" s="13">
        <v>3</v>
      </c>
      <c r="F44" s="14"/>
    </row>
    <row r="47" ht="13.5" thickBot="1">
      <c r="C47" s="3" t="s">
        <v>21</v>
      </c>
    </row>
    <row r="48" spans="2:5" ht="13.5" thickBot="1">
      <c r="B48" s="8" t="s">
        <v>22</v>
      </c>
      <c r="C48" s="9"/>
      <c r="D48" s="9"/>
      <c r="E48" s="10"/>
    </row>
    <row r="49" spans="2:6" ht="13.5" thickBot="1">
      <c r="B49" s="15" t="s">
        <v>23</v>
      </c>
      <c r="C49" s="16"/>
      <c r="D49" s="16"/>
      <c r="E49" s="13">
        <v>1</v>
      </c>
      <c r="F49" s="14"/>
    </row>
    <row r="50" spans="2:5" ht="13.5" thickBot="1">
      <c r="B50" s="8" t="s">
        <v>24</v>
      </c>
      <c r="C50" s="9"/>
      <c r="D50" s="9"/>
      <c r="E50" s="10"/>
    </row>
    <row r="51" spans="2:6" ht="13.5" thickBot="1">
      <c r="B51" s="15" t="s">
        <v>23</v>
      </c>
      <c r="C51" s="16"/>
      <c r="D51" s="16"/>
      <c r="E51" s="13">
        <v>5</v>
      </c>
      <c r="F51" s="14">
        <v>5</v>
      </c>
    </row>
    <row r="52" spans="2:6" ht="13.5" thickBot="1">
      <c r="B52" s="18" t="s">
        <v>25</v>
      </c>
      <c r="C52" s="19"/>
      <c r="D52" s="19"/>
      <c r="E52" s="13">
        <v>10</v>
      </c>
      <c r="F52" s="14"/>
    </row>
  </sheetData>
  <sheetProtection password="CF7A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R53"/>
  <sheetViews>
    <sheetView showRowColHeaders="0" zoomScale="98" zoomScaleNormal="98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5.00390625" style="0" bestFit="1" customWidth="1"/>
    <col min="3" max="3" width="1.57421875" style="0" customWidth="1"/>
    <col min="4" max="4" width="19.140625" style="0" customWidth="1"/>
    <col min="5" max="5" width="1.28515625" style="0" customWidth="1"/>
    <col min="6" max="6" width="19.140625" style="0" customWidth="1"/>
    <col min="7" max="7" width="1.28515625" style="0" customWidth="1"/>
    <col min="8" max="8" width="19.7109375" style="0" customWidth="1"/>
  </cols>
  <sheetData>
    <row r="1" spans="1:18" ht="13.5" thickBot="1">
      <c r="A1" s="28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0.25">
      <c r="A2" s="28"/>
      <c r="B2" s="28"/>
      <c r="C2" s="28"/>
      <c r="D2" s="376" t="s">
        <v>6</v>
      </c>
      <c r="E2" s="370"/>
      <c r="F2" s="371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1" thickBot="1">
      <c r="A3" s="28"/>
      <c r="B3" s="28"/>
      <c r="C3" s="28"/>
      <c r="D3" s="372" t="s">
        <v>201</v>
      </c>
      <c r="E3" s="377"/>
      <c r="F3" s="37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>
      <c r="A4" s="212" t="str">
        <f>+'C 1 Faktörü'!A4</f>
        <v>                BİNA BOYUTLARINI GİRMEDİNİZ LÜTFEN ANA SAYFAYA DÖNÜP BİLGİLERİ GİRİNİZ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2.75" customHeight="1">
      <c r="A5" s="28"/>
      <c r="B5" s="175"/>
      <c r="C5" s="28"/>
      <c r="D5" s="175"/>
      <c r="E5" s="175"/>
      <c r="F5" s="17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4.75" customHeight="1">
      <c r="A6" s="28"/>
      <c r="B6" s="214" t="s">
        <v>63</v>
      </c>
      <c r="C6" s="215"/>
      <c r="D6" s="217" t="s">
        <v>64</v>
      </c>
      <c r="E6" s="218"/>
      <c r="F6" s="219" t="s">
        <v>65</v>
      </c>
      <c r="G6" s="215"/>
      <c r="H6" s="79" t="s">
        <v>66</v>
      </c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4.75" customHeight="1">
      <c r="A7" s="28"/>
      <c r="B7" s="68" t="s">
        <v>67</v>
      </c>
      <c r="C7" s="216"/>
      <c r="D7" s="221">
        <v>0.5</v>
      </c>
      <c r="E7" s="222"/>
      <c r="F7" s="221">
        <v>1</v>
      </c>
      <c r="G7" s="223"/>
      <c r="H7" s="224">
        <v>2</v>
      </c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24.75" customHeight="1">
      <c r="A8" s="28"/>
      <c r="B8" s="65" t="s">
        <v>68</v>
      </c>
      <c r="C8" s="216"/>
      <c r="D8" s="221">
        <v>1</v>
      </c>
      <c r="E8" s="222"/>
      <c r="F8" s="221">
        <v>1.5</v>
      </c>
      <c r="G8" s="223"/>
      <c r="H8" s="224">
        <v>2.5</v>
      </c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4.75" customHeight="1">
      <c r="A9" s="28"/>
      <c r="B9" s="68" t="s">
        <v>69</v>
      </c>
      <c r="C9" s="216"/>
      <c r="D9" s="221">
        <v>2</v>
      </c>
      <c r="E9" s="222"/>
      <c r="F9" s="221">
        <v>2.5</v>
      </c>
      <c r="G9" s="223"/>
      <c r="H9" s="224">
        <v>3</v>
      </c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25.5">
      <c r="A10" s="28"/>
      <c r="B10" s="28"/>
      <c r="C10" s="28"/>
      <c r="D10" s="28"/>
      <c r="E10" s="17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25.5">
      <c r="A11" s="28"/>
      <c r="B11" s="28"/>
      <c r="C11" s="28"/>
      <c r="D11" s="28"/>
      <c r="E11" s="17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9" ht="13.5" thickBot="1"/>
    <row r="50" ht="18.75" thickBot="1">
      <c r="A50" s="179"/>
    </row>
    <row r="51" ht="18.75" thickBot="1">
      <c r="A51" s="179">
        <f>IF(ANASAYFA!H11=0,0,IF(A50&lt;6,A52,A53))</f>
        <v>0</v>
      </c>
    </row>
    <row r="52" ht="18.75" thickBot="1">
      <c r="A52" s="29">
        <f>IF(A50=1,D7,IF(A50=2,D8,IF(A50=3,D9,IF(A50=4,F7,IF(A50=5,F8,0)))))</f>
        <v>0</v>
      </c>
    </row>
    <row r="53" ht="18.75" thickBot="1">
      <c r="A53" s="29">
        <f>IF(A50=6,F9,IF(A50=7,H7,IF(A50=8,H8,IF(A50=9,H9,0))))</f>
        <v>0</v>
      </c>
    </row>
  </sheetData>
  <sheetProtection password="CF7A" sheet="1" objects="1" scenarios="1"/>
  <mergeCells count="2">
    <mergeCell ref="D3:F3"/>
    <mergeCell ref="D2:F2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U51"/>
  <sheetViews>
    <sheetView showRowColHeaders="0" zoomScale="98" zoomScaleNormal="98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7.00390625" style="0" customWidth="1"/>
  </cols>
  <sheetData>
    <row r="1" spans="1:21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>
      <c r="A2" s="28"/>
      <c r="B2" s="376" t="s">
        <v>10</v>
      </c>
      <c r="C2" s="370"/>
      <c r="D2" s="370"/>
      <c r="E2" s="37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1" thickBot="1">
      <c r="A3" s="28"/>
      <c r="B3" s="372" t="s">
        <v>197</v>
      </c>
      <c r="C3" s="377"/>
      <c r="D3" s="377"/>
      <c r="E3" s="37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5.75">
      <c r="A4" s="212" t="str">
        <f>+'C 1 Faktörü'!A4</f>
        <v>                BİNA BOYUTLARINI GİRMEDİNİZ LÜTFEN ANA SAYFAYA DÖNÜP BİLGİLERİ GİRİNİZ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6.25">
      <c r="A5" s="28"/>
      <c r="B5" s="175"/>
      <c r="C5" s="176"/>
      <c r="D5" s="175"/>
      <c r="E5" s="175"/>
      <c r="F5" s="17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6.25">
      <c r="A6" s="28"/>
      <c r="B6" s="65" t="s">
        <v>11</v>
      </c>
      <c r="C6" s="66"/>
      <c r="D6" s="67"/>
      <c r="E6" s="226">
        <v>0.5</v>
      </c>
      <c r="F6" s="175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>
      <c r="A7" s="28"/>
      <c r="B7" s="68"/>
      <c r="C7" s="69"/>
      <c r="D7" s="70"/>
      <c r="E7" s="226">
        <v>1</v>
      </c>
      <c r="F7" s="17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26.25">
      <c r="A8" s="28"/>
      <c r="B8" s="65" t="s">
        <v>13</v>
      </c>
      <c r="C8" s="71"/>
      <c r="D8" s="72"/>
      <c r="E8" s="226">
        <v>2</v>
      </c>
      <c r="F8" s="175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26.25">
      <c r="A9" s="28"/>
      <c r="B9" s="68" t="s">
        <v>74</v>
      </c>
      <c r="C9" s="73"/>
      <c r="D9" s="74"/>
      <c r="E9" s="226">
        <v>3</v>
      </c>
      <c r="F9" s="175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25.5">
      <c r="A10" s="28"/>
      <c r="B10" s="28"/>
      <c r="C10" s="28"/>
      <c r="D10" s="28"/>
      <c r="E10" s="28"/>
      <c r="F10" s="175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49" ht="13.5" thickBot="1"/>
    <row r="50" ht="18.75" thickBot="1">
      <c r="A50" s="179"/>
    </row>
    <row r="51" ht="18.75" thickBot="1">
      <c r="A51" s="174">
        <f>IF(ANASAYFA!H11=0,0,IF(A50=1,E6,IF(A50=2,E7,IF(A50=3,E8,IF(A50=4,E9,0)))))</f>
        <v>0</v>
      </c>
    </row>
  </sheetData>
  <mergeCells count="2">
    <mergeCell ref="B3:E3"/>
    <mergeCell ref="B2:E2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U51"/>
  <sheetViews>
    <sheetView showRowColHeaders="0" zoomScale="102" zoomScaleNormal="102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42.8515625" style="0" customWidth="1"/>
  </cols>
  <sheetData>
    <row r="1" spans="1:21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>
      <c r="A2" s="28"/>
      <c r="B2" s="376" t="s">
        <v>17</v>
      </c>
      <c r="C2" s="370"/>
      <c r="D2" s="370"/>
      <c r="E2" s="37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1" thickBot="1">
      <c r="A3" s="28"/>
      <c r="B3" s="372" t="s">
        <v>198</v>
      </c>
      <c r="C3" s="377"/>
      <c r="D3" s="377"/>
      <c r="E3" s="37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5.75">
      <c r="A4" s="212" t="str">
        <f>+'C 1 Faktörü'!A4</f>
        <v>                BİNA BOYUTLARINI GİRMEDİNİZ LÜTFEN ANA SAYFAYA DÖNÜP BİLGİLERİ GİRİNİZ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7.75">
      <c r="A5" s="28"/>
      <c r="B5" s="177"/>
      <c r="C5" s="178"/>
      <c r="D5" s="177"/>
      <c r="E5" s="177"/>
      <c r="F5" s="17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9.25">
      <c r="A6" s="28"/>
      <c r="B6" s="65" t="s">
        <v>62</v>
      </c>
      <c r="C6" s="66"/>
      <c r="D6" s="67"/>
      <c r="E6" s="226">
        <v>0.5</v>
      </c>
      <c r="F6" s="17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9.25">
      <c r="A7" s="28"/>
      <c r="B7" s="68" t="s">
        <v>19</v>
      </c>
      <c r="C7" s="69"/>
      <c r="D7" s="70"/>
      <c r="E7" s="226">
        <v>1</v>
      </c>
      <c r="F7" s="17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29.25">
      <c r="A8" s="28"/>
      <c r="B8" s="65" t="s">
        <v>70</v>
      </c>
      <c r="C8" s="71"/>
      <c r="D8" s="72"/>
      <c r="E8" s="226">
        <v>3</v>
      </c>
      <c r="F8" s="17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3.5" thickBo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8.75" thickBot="1">
      <c r="A50" s="17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ht="18.75" thickBot="1">
      <c r="A51" s="174">
        <f>IF(ANASAYFA!H11=0,0,IF(A50=1,E6,IF(A50=2,E7,IF(A50=3,E8,0))))</f>
        <v>0</v>
      </c>
    </row>
  </sheetData>
  <sheetProtection password="CF7A" sheet="1" objects="1" scenarios="1"/>
  <mergeCells count="2">
    <mergeCell ref="B3:E3"/>
    <mergeCell ref="B2:E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U52"/>
  <sheetViews>
    <sheetView showRowColHeaders="0" zoomScale="102" zoomScaleNormal="102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42.00390625" style="0" customWidth="1"/>
    <col min="5" max="5" width="8.28125" style="0" customWidth="1"/>
  </cols>
  <sheetData>
    <row r="1" spans="1:21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0.25">
      <c r="A2" s="28"/>
      <c r="B2" s="376" t="s">
        <v>21</v>
      </c>
      <c r="C2" s="370"/>
      <c r="D2" s="370"/>
      <c r="E2" s="371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1" thickBot="1">
      <c r="A3" s="28"/>
      <c r="B3" s="372" t="s">
        <v>199</v>
      </c>
      <c r="C3" s="377"/>
      <c r="D3" s="377"/>
      <c r="E3" s="37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5.75">
      <c r="A4" s="212" t="str">
        <f>+'C 1 Faktörü'!A4</f>
        <v>                BİNA BOYUTLARINI GİRMEDİNİZ LÜTFEN ANA SAYFAYA DÖNÜP BİLGİLERİ GİRİNİZ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6.25">
      <c r="A5" s="28"/>
      <c r="B5" s="175"/>
      <c r="C5" s="176"/>
      <c r="D5" s="175"/>
      <c r="E5" s="175"/>
      <c r="F5" s="17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26.25">
      <c r="A6" s="28"/>
      <c r="B6" s="65" t="s">
        <v>71</v>
      </c>
      <c r="C6" s="66"/>
      <c r="D6" s="67"/>
      <c r="E6" s="226">
        <v>1</v>
      </c>
      <c r="F6" s="175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>
      <c r="A7" s="28"/>
      <c r="B7" s="68" t="s">
        <v>72</v>
      </c>
      <c r="C7" s="69"/>
      <c r="D7" s="70"/>
      <c r="E7" s="226">
        <v>5</v>
      </c>
      <c r="F7" s="17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26.25">
      <c r="A8" s="28"/>
      <c r="B8" s="65" t="s">
        <v>25</v>
      </c>
      <c r="C8" s="71"/>
      <c r="D8" s="72"/>
      <c r="E8" s="226">
        <v>10</v>
      </c>
      <c r="F8" s="175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25.5">
      <c r="A9" s="28"/>
      <c r="B9" s="28"/>
      <c r="C9" s="28"/>
      <c r="D9" s="28"/>
      <c r="E9" s="28"/>
      <c r="F9" s="175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3.5" thickBo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8.75" thickBot="1">
      <c r="A50" s="17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8.75" thickBot="1">
      <c r="A51" s="174">
        <f>IF(ANASAYFA!H11=0,0,IF(A50=1,E6,IF(A50=2,E7,IF(A50=3,E8,0))))</f>
        <v>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</sheetData>
  <sheetProtection password="CF7A" sheet="1" objects="1" scenarios="1"/>
  <mergeCells count="2">
    <mergeCell ref="B3:E3"/>
    <mergeCell ref="B2:E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4"/>
  <dimension ref="A1:AD42"/>
  <sheetViews>
    <sheetView showRowColHeaders="0" zoomScale="90" zoomScaleNormal="90" workbookViewId="0" topLeftCell="A1">
      <selection activeCell="A1" sqref="A1"/>
    </sheetView>
  </sheetViews>
  <sheetFormatPr defaultColWidth="9.140625" defaultRowHeight="12.75"/>
  <cols>
    <col min="1" max="2" width="2.7109375" style="0" customWidth="1"/>
    <col min="3" max="3" width="12.7109375" style="0" customWidth="1"/>
    <col min="4" max="4" width="45.7109375" style="0" customWidth="1"/>
    <col min="5" max="5" width="25.7109375" style="0" customWidth="1"/>
    <col min="6" max="6" width="7.57421875" style="0" customWidth="1"/>
    <col min="7" max="7" width="6.00390625" style="0" customWidth="1"/>
  </cols>
  <sheetData>
    <row r="1" spans="1:30" ht="13.5" thickBot="1">
      <c r="A1" s="349"/>
      <c r="B1" s="349"/>
      <c r="C1" s="396" t="s">
        <v>160</v>
      </c>
      <c r="D1" s="396"/>
      <c r="E1" s="396"/>
      <c r="F1" s="396"/>
      <c r="G1" s="396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</row>
    <row r="2" spans="1:30" ht="13.5" thickTop="1">
      <c r="A2" s="349"/>
      <c r="B2" s="349"/>
      <c r="C2" s="397">
        <f>+SONUÇ!F13</f>
      </c>
      <c r="D2" s="398"/>
      <c r="E2" s="398"/>
      <c r="F2" s="398"/>
      <c r="G2" s="39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</row>
    <row r="3" spans="1:30" ht="12.75">
      <c r="A3" s="349"/>
      <c r="B3" s="349"/>
      <c r="C3" s="348" t="s">
        <v>84</v>
      </c>
      <c r="D3" s="347">
        <f>+F28</f>
      </c>
      <c r="E3" s="347"/>
      <c r="F3" s="400"/>
      <c r="G3" s="401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</row>
    <row r="4" spans="1:30" ht="12.75">
      <c r="A4" s="349"/>
      <c r="B4" s="349"/>
      <c r="C4" s="379" t="s">
        <v>161</v>
      </c>
      <c r="D4" s="341" t="s">
        <v>183</v>
      </c>
      <c r="E4" s="341"/>
      <c r="F4" s="394">
        <f>+ANASAYFA!H5</f>
        <v>0</v>
      </c>
      <c r="G4" s="395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</row>
    <row r="5" spans="1:30" ht="12.75">
      <c r="A5" s="349"/>
      <c r="B5" s="349"/>
      <c r="C5" s="379"/>
      <c r="D5" s="341" t="s">
        <v>184</v>
      </c>
      <c r="E5" s="341"/>
      <c r="F5" s="394">
        <f>+ANASAYFA!H6</f>
        <v>0</v>
      </c>
      <c r="G5" s="395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</row>
    <row r="6" spans="1:30" ht="12.75">
      <c r="A6" s="349"/>
      <c r="B6" s="349"/>
      <c r="C6" s="379"/>
      <c r="D6" s="341" t="s">
        <v>185</v>
      </c>
      <c r="E6" s="341"/>
      <c r="F6" s="394">
        <f>+ANASAYFA!H7</f>
        <v>0</v>
      </c>
      <c r="G6" s="395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</row>
    <row r="7" spans="1:30" ht="12.75">
      <c r="A7" s="349"/>
      <c r="B7" s="349"/>
      <c r="C7" s="381" t="s">
        <v>162</v>
      </c>
      <c r="D7" s="340" t="s">
        <v>163</v>
      </c>
      <c r="E7" s="340"/>
      <c r="F7" s="392">
        <f>+'C 1 Faktörü'!A51</f>
        <v>0</v>
      </c>
      <c r="G7" s="393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</row>
    <row r="8" spans="1:30" ht="12.75">
      <c r="A8" s="349"/>
      <c r="B8" s="349"/>
      <c r="C8" s="381"/>
      <c r="D8" s="340" t="s">
        <v>164</v>
      </c>
      <c r="E8" s="340"/>
      <c r="F8" s="392">
        <f>+'C 2 Faktörü'!A51</f>
        <v>0</v>
      </c>
      <c r="G8" s="393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</row>
    <row r="9" spans="1:30" ht="12.75">
      <c r="A9" s="349"/>
      <c r="B9" s="349"/>
      <c r="C9" s="381"/>
      <c r="D9" s="340" t="s">
        <v>165</v>
      </c>
      <c r="E9" s="340"/>
      <c r="F9" s="392">
        <f>+'C 3 Faktörü'!A51</f>
        <v>0</v>
      </c>
      <c r="G9" s="393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</row>
    <row r="10" spans="1:30" ht="12.75">
      <c r="A10" s="349"/>
      <c r="B10" s="349"/>
      <c r="C10" s="381"/>
      <c r="D10" s="340" t="s">
        <v>166</v>
      </c>
      <c r="E10" s="340"/>
      <c r="F10" s="392">
        <f>+'C 4 Faktörü'!A51</f>
        <v>0</v>
      </c>
      <c r="G10" s="393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</row>
    <row r="11" spans="1:30" ht="12.75">
      <c r="A11" s="349"/>
      <c r="B11" s="349"/>
      <c r="C11" s="381"/>
      <c r="D11" s="340" t="s">
        <v>167</v>
      </c>
      <c r="E11" s="340"/>
      <c r="F11" s="392">
        <f>+'C 5 Faktörü'!A51</f>
        <v>0</v>
      </c>
      <c r="G11" s="393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</row>
    <row r="12" spans="1:30" ht="12.75">
      <c r="A12" s="349"/>
      <c r="B12" s="349"/>
      <c r="C12" s="379" t="s">
        <v>170</v>
      </c>
      <c r="D12" s="341" t="s">
        <v>169</v>
      </c>
      <c r="E12" s="341"/>
      <c r="F12" s="386" t="str">
        <f>+faraday!F12&amp;" mt"</f>
        <v> mt</v>
      </c>
      <c r="G12" s="387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</row>
    <row r="13" spans="1:30" ht="12.75">
      <c r="A13" s="349"/>
      <c r="B13" s="349"/>
      <c r="C13" s="379"/>
      <c r="D13" s="341" t="s">
        <v>168</v>
      </c>
      <c r="E13" s="341"/>
      <c r="F13" s="386" t="str">
        <f>+faraday!G12&amp;" mt"</f>
        <v> mt</v>
      </c>
      <c r="G13" s="387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</row>
    <row r="14" spans="1:30" ht="12.75">
      <c r="A14" s="349"/>
      <c r="B14" s="349"/>
      <c r="C14" s="381" t="s">
        <v>173</v>
      </c>
      <c r="D14" s="340" t="s">
        <v>175</v>
      </c>
      <c r="E14" s="340"/>
      <c r="F14" s="340"/>
      <c r="G14" s="342">
        <f>+franklin!J8</f>
        <v>0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</row>
    <row r="15" spans="1:30" ht="12.75">
      <c r="A15" s="349"/>
      <c r="B15" s="349"/>
      <c r="C15" s="381"/>
      <c r="D15" s="340">
        <f>IF(franklin!E14="",+franklin!E10,franklin!E14)</f>
      </c>
      <c r="E15" s="340"/>
      <c r="F15" s="340"/>
      <c r="G15" s="342">
        <f>IF(franklin!E14="",+franklin!J10,"")</f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</row>
    <row r="16" spans="1:30" ht="12.75">
      <c r="A16" s="349"/>
      <c r="B16" s="349"/>
      <c r="C16" s="381"/>
      <c r="D16" s="340" t="s">
        <v>171</v>
      </c>
      <c r="E16" s="340"/>
      <c r="F16" s="388">
        <f>+franklinson!J11</f>
      </c>
      <c r="G16" s="38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</row>
    <row r="17" spans="1:30" ht="12.75">
      <c r="A17" s="349"/>
      <c r="B17" s="349"/>
      <c r="C17" s="381"/>
      <c r="D17" s="340" t="s">
        <v>172</v>
      </c>
      <c r="E17" s="340"/>
      <c r="F17" s="390">
        <f>+franklinson!J12</f>
      </c>
      <c r="G17" s="391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</row>
    <row r="18" spans="1:30" ht="12.75">
      <c r="A18" s="349"/>
      <c r="B18" s="349"/>
      <c r="C18" s="379" t="s">
        <v>174</v>
      </c>
      <c r="D18" s="341" t="s">
        <v>176</v>
      </c>
      <c r="E18" s="341"/>
      <c r="F18" s="394">
        <f>+koruma!J13</f>
        <v>0</v>
      </c>
      <c r="G18" s="395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</row>
    <row r="19" spans="1:30" ht="12.75">
      <c r="A19" s="349"/>
      <c r="B19" s="349"/>
      <c r="C19" s="379"/>
      <c r="D19" s="341">
        <f>+koruma!B16</f>
      </c>
      <c r="E19" s="341"/>
      <c r="F19" s="345"/>
      <c r="G19" s="346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</row>
    <row r="20" spans="1:30" ht="12.75">
      <c r="A20" s="349"/>
      <c r="B20" s="349"/>
      <c r="C20" s="379"/>
      <c r="D20" s="382" t="str">
        <f>+SONUÇ!C6</f>
        <v>GİRİŞ İŞLEMİNİZ EKSİK VEYA TAMAMLANMAMIŞTIR</v>
      </c>
      <c r="E20" s="382"/>
      <c r="F20" s="382"/>
      <c r="G20" s="383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</row>
    <row r="21" spans="1:30" ht="12.75">
      <c r="A21" s="349"/>
      <c r="B21" s="349"/>
      <c r="C21" s="379"/>
      <c r="D21" s="382">
        <f>+SONUÇ!E8</f>
      </c>
      <c r="E21" s="382"/>
      <c r="F21" s="382"/>
      <c r="G21" s="383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</row>
    <row r="22" spans="1:30" ht="13.5" thickBot="1">
      <c r="A22" s="349"/>
      <c r="B22" s="349"/>
      <c r="C22" s="380"/>
      <c r="D22" s="384">
        <f>+SONUÇ!E10</f>
      </c>
      <c r="E22" s="384"/>
      <c r="F22" s="384"/>
      <c r="G22" s="385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</row>
    <row r="23" spans="1:30" ht="13.5" thickTop="1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</row>
    <row r="24" spans="1:30" ht="13.5" customHeight="1">
      <c r="A24" s="349"/>
      <c r="B24" s="349"/>
      <c r="C24" s="402" t="s">
        <v>90</v>
      </c>
      <c r="D24" s="350" t="s">
        <v>189</v>
      </c>
      <c r="E24" s="350" t="s">
        <v>187</v>
      </c>
      <c r="F24" s="405">
        <f>+F4*F4+6*F6*(F5+F4)+9*3.14159*F6*F6</f>
        <v>0</v>
      </c>
      <c r="G24" s="406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</row>
    <row r="25" spans="1:30" ht="13.5" customHeight="1">
      <c r="A25" s="349"/>
      <c r="B25" s="349"/>
      <c r="C25" s="403"/>
      <c r="D25" s="351" t="s">
        <v>200</v>
      </c>
      <c r="E25" s="351" t="s">
        <v>188</v>
      </c>
      <c r="F25" s="407">
        <f>2*F24*F7/1000000</f>
        <v>0</v>
      </c>
      <c r="G25" s="408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</row>
    <row r="26" spans="1:30" ht="13.5" customHeight="1">
      <c r="A26" s="349"/>
      <c r="B26" s="349"/>
      <c r="C26" s="403"/>
      <c r="D26" s="351"/>
      <c r="E26" s="351" t="s">
        <v>179</v>
      </c>
      <c r="F26" s="409">
        <f>+F8*F9*F10*F11</f>
        <v>0</v>
      </c>
      <c r="G26" s="410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</row>
    <row r="27" spans="1:30" ht="13.5" customHeight="1">
      <c r="A27" s="349"/>
      <c r="B27" s="349"/>
      <c r="C27" s="403"/>
      <c r="D27" s="350" t="s">
        <v>191</v>
      </c>
      <c r="E27" s="350" t="s">
        <v>186</v>
      </c>
      <c r="F27" s="407">
        <f>IF(F26=0,"",5.5/1000/F26)</f>
      </c>
      <c r="G27" s="408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</row>
    <row r="28" spans="1:30" ht="13.5" customHeight="1">
      <c r="A28" s="349"/>
      <c r="B28" s="349"/>
      <c r="C28" s="404"/>
      <c r="D28" s="352" t="s">
        <v>190</v>
      </c>
      <c r="E28" s="352" t="s">
        <v>182</v>
      </c>
      <c r="F28" s="411">
        <f>IF(F26=0,"",1-(F27/F25))</f>
      </c>
      <c r="G28" s="412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</row>
    <row r="29" spans="1:30" ht="15.75" customHeight="1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</row>
    <row r="30" spans="1:30" ht="13.5" thickBot="1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</row>
    <row r="31" spans="1:30" ht="13.5" thickBot="1">
      <c r="A31" s="349"/>
      <c r="B31" s="349"/>
      <c r="C31" s="354" t="s">
        <v>195</v>
      </c>
      <c r="D31" s="355"/>
      <c r="E31" s="356" t="s">
        <v>105</v>
      </c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</row>
    <row r="32" spans="1:30" ht="12.75">
      <c r="A32" s="349"/>
      <c r="B32" s="349"/>
      <c r="C32" s="357"/>
      <c r="D32" s="350"/>
      <c r="E32" s="358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</row>
    <row r="33" spans="1:30" ht="12.75">
      <c r="A33" s="349"/>
      <c r="B33" s="349"/>
      <c r="C33" s="357" t="s">
        <v>193</v>
      </c>
      <c r="D33" s="350"/>
      <c r="E33" s="358" t="s">
        <v>77</v>
      </c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</row>
    <row r="34" spans="1:30" ht="12.75">
      <c r="A34" s="349"/>
      <c r="B34" s="349"/>
      <c r="C34" s="357" t="s">
        <v>142</v>
      </c>
      <c r="D34" s="350"/>
      <c r="E34" s="358" t="s">
        <v>87</v>
      </c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</row>
    <row r="35" spans="1:30" ht="12.75">
      <c r="A35" s="349"/>
      <c r="B35" s="349"/>
      <c r="C35" s="357" t="s">
        <v>143</v>
      </c>
      <c r="D35" s="350"/>
      <c r="E35" s="358" t="s">
        <v>75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</row>
    <row r="36" spans="1:30" ht="12.75">
      <c r="A36" s="349"/>
      <c r="B36" s="349"/>
      <c r="C36" s="357" t="s">
        <v>144</v>
      </c>
      <c r="D36" s="350"/>
      <c r="E36" s="358" t="s">
        <v>76</v>
      </c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</row>
    <row r="37" spans="1:30" ht="12.75">
      <c r="A37" s="349"/>
      <c r="B37" s="349"/>
      <c r="C37" s="357" t="s">
        <v>194</v>
      </c>
      <c r="D37" s="350"/>
      <c r="E37" s="358" t="s">
        <v>117</v>
      </c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</row>
    <row r="38" spans="1:30" ht="13.5" thickBot="1">
      <c r="A38" s="349"/>
      <c r="B38" s="349"/>
      <c r="C38" s="357" t="s">
        <v>196</v>
      </c>
      <c r="D38" s="359"/>
      <c r="E38" s="360" t="s">
        <v>146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</row>
    <row r="39" spans="1:30" ht="12.75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</row>
    <row r="40" spans="1:30" ht="12.75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</row>
    <row r="41" spans="1:30" ht="12.75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</row>
    <row r="42" spans="1:30" ht="12.75">
      <c r="A42" s="349"/>
      <c r="B42" s="349"/>
      <c r="C42" s="353" t="s">
        <v>192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</row>
  </sheetData>
  <sheetProtection password="CF7A" sheet="1" objects="1" scenarios="1"/>
  <mergeCells count="30">
    <mergeCell ref="C24:C28"/>
    <mergeCell ref="F24:G24"/>
    <mergeCell ref="F25:G25"/>
    <mergeCell ref="F26:G26"/>
    <mergeCell ref="F28:G28"/>
    <mergeCell ref="F27:G27"/>
    <mergeCell ref="C1:G1"/>
    <mergeCell ref="C2:G2"/>
    <mergeCell ref="F8:G8"/>
    <mergeCell ref="F9:G9"/>
    <mergeCell ref="C4:C6"/>
    <mergeCell ref="C7:C11"/>
    <mergeCell ref="F4:G4"/>
    <mergeCell ref="F3:G3"/>
    <mergeCell ref="F5:G5"/>
    <mergeCell ref="F6:G6"/>
    <mergeCell ref="F7:G7"/>
    <mergeCell ref="F11:G11"/>
    <mergeCell ref="F10:G10"/>
    <mergeCell ref="D20:G20"/>
    <mergeCell ref="F18:G18"/>
    <mergeCell ref="C12:C13"/>
    <mergeCell ref="C18:C22"/>
    <mergeCell ref="C14:C17"/>
    <mergeCell ref="D21:G21"/>
    <mergeCell ref="D22:G22"/>
    <mergeCell ref="F12:G12"/>
    <mergeCell ref="F13:G13"/>
    <mergeCell ref="F16:G16"/>
    <mergeCell ref="F17:G17"/>
  </mergeCells>
  <printOptions/>
  <pageMargins left="0.75" right="0.75" top="1" bottom="1" header="0.5" footer="0.5"/>
  <pageSetup horizontalDpi="300" verticalDpi="300" orientation="landscape" paperSize="9" scal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"/>
  <dimension ref="A2:P41"/>
  <sheetViews>
    <sheetView showRowColHeaders="0" showZeros="0" zoomScale="75" zoomScaleNormal="75" workbookViewId="0" topLeftCell="A1">
      <selection activeCell="M13" sqref="M1:M13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" width="10.8515625" style="0" bestFit="1" customWidth="1"/>
    <col min="5" max="5" width="4.8515625" style="0" customWidth="1"/>
    <col min="7" max="7" width="17.57421875" style="0" customWidth="1"/>
    <col min="8" max="8" width="10.140625" style="0" customWidth="1"/>
    <col min="9" max="9" width="9.57421875" style="0" customWidth="1"/>
    <col min="10" max="10" width="4.7109375" style="0" customWidth="1"/>
    <col min="11" max="11" width="9.28125" style="0" customWidth="1"/>
  </cols>
  <sheetData>
    <row r="1" ht="13.5" thickBot="1"/>
    <row r="2" spans="3:16" ht="16.5" thickBot="1">
      <c r="C2" s="413" t="s">
        <v>89</v>
      </c>
      <c r="D2" s="414"/>
      <c r="E2" s="414"/>
      <c r="F2" s="414"/>
      <c r="G2" s="414"/>
      <c r="H2" s="414"/>
      <c r="I2" s="414"/>
      <c r="J2" s="414"/>
      <c r="K2" s="415"/>
      <c r="M2" s="315"/>
      <c r="N2" s="316"/>
      <c r="O2" s="316"/>
      <c r="P2" s="323"/>
    </row>
    <row r="3" spans="13:16" ht="13.5" thickBot="1">
      <c r="M3" s="317"/>
      <c r="N3" s="318"/>
      <c r="O3" s="318"/>
      <c r="P3" s="361"/>
    </row>
    <row r="4" spans="1:16" ht="12.75">
      <c r="A4" s="416"/>
      <c r="C4" s="8"/>
      <c r="D4" s="9"/>
      <c r="E4" s="9"/>
      <c r="F4" s="9"/>
      <c r="G4" s="9"/>
      <c r="H4" s="9"/>
      <c r="I4" s="9"/>
      <c r="J4" s="9"/>
      <c r="K4" s="10"/>
      <c r="M4" s="317"/>
      <c r="N4" s="318"/>
      <c r="O4" s="318"/>
      <c r="P4" s="361"/>
    </row>
    <row r="5" spans="1:16" ht="15.75" thickBot="1">
      <c r="A5" s="416"/>
      <c r="C5" s="369" t="s">
        <v>202</v>
      </c>
      <c r="D5" s="16"/>
      <c r="E5" s="16"/>
      <c r="F5" s="16"/>
      <c r="G5" s="16"/>
      <c r="H5" s="16"/>
      <c r="I5" s="16"/>
      <c r="J5" s="16"/>
      <c r="K5" s="17"/>
      <c r="M5" s="317"/>
      <c r="N5" s="318"/>
      <c r="O5" s="318"/>
      <c r="P5" s="319"/>
    </row>
    <row r="6" spans="8:16" ht="13.5" thickBot="1">
      <c r="H6" s="12"/>
      <c r="I6" s="12"/>
      <c r="J6" s="12"/>
      <c r="M6" s="317"/>
      <c r="N6" s="318"/>
      <c r="O6" s="318"/>
      <c r="P6" s="319"/>
    </row>
    <row r="7" spans="3:16" ht="13.5" thickBot="1">
      <c r="C7" s="180" t="s">
        <v>90</v>
      </c>
      <c r="D7" s="181"/>
      <c r="E7" s="181"/>
      <c r="F7" s="181"/>
      <c r="G7" s="190"/>
      <c r="H7" s="180" t="s">
        <v>91</v>
      </c>
      <c r="I7" s="198"/>
      <c r="J7" s="181" t="s">
        <v>85</v>
      </c>
      <c r="K7" s="198"/>
      <c r="M7" s="317"/>
      <c r="N7" s="318"/>
      <c r="O7" s="318"/>
      <c r="P7" s="319"/>
    </row>
    <row r="8" spans="3:16" ht="13.5" thickBot="1">
      <c r="C8" s="192" t="s">
        <v>92</v>
      </c>
      <c r="D8" s="182"/>
      <c r="E8" s="182"/>
      <c r="F8" s="182"/>
      <c r="G8" s="182"/>
      <c r="H8" s="294" t="s">
        <v>93</v>
      </c>
      <c r="I8" s="200">
        <f>+ANASAYFA!H5</f>
        <v>0</v>
      </c>
      <c r="J8" s="186"/>
      <c r="K8" s="20"/>
      <c r="M8" s="317"/>
      <c r="N8" s="318"/>
      <c r="O8" s="318"/>
      <c r="P8" s="319"/>
    </row>
    <row r="9" spans="3:16" ht="13.5" thickBot="1">
      <c r="C9" s="193" t="s">
        <v>112</v>
      </c>
      <c r="D9" s="12"/>
      <c r="E9" s="12"/>
      <c r="F9" s="12"/>
      <c r="G9" s="12"/>
      <c r="H9" s="294" t="s">
        <v>94</v>
      </c>
      <c r="I9" s="200">
        <f>+ANASAYFA!H6</f>
        <v>0</v>
      </c>
      <c r="J9" s="186" t="s">
        <v>95</v>
      </c>
      <c r="K9" s="202">
        <f>+I8*I9+6*I10*(I8+I9)+9*PI()*I11</f>
        <v>0</v>
      </c>
      <c r="M9" s="317"/>
      <c r="N9" s="318"/>
      <c r="O9" s="318"/>
      <c r="P9" s="319"/>
    </row>
    <row r="10" spans="3:16" ht="13.5" thickBot="1">
      <c r="C10" s="11" t="s">
        <v>96</v>
      </c>
      <c r="D10" s="12"/>
      <c r="E10" s="12"/>
      <c r="F10" s="12"/>
      <c r="G10" s="12"/>
      <c r="H10" s="294" t="s">
        <v>97</v>
      </c>
      <c r="I10" s="200">
        <f>+ANASAYFA!H7</f>
        <v>0</v>
      </c>
      <c r="J10" s="191"/>
      <c r="K10" s="183"/>
      <c r="M10" s="317"/>
      <c r="N10" s="318"/>
      <c r="O10" s="318"/>
      <c r="P10" s="319"/>
    </row>
    <row r="11" spans="3:16" ht="14.25" customHeight="1" thickBot="1">
      <c r="C11" s="11"/>
      <c r="D11" s="12"/>
      <c r="E11" s="12"/>
      <c r="F11" s="12"/>
      <c r="G11" s="12"/>
      <c r="H11" s="294" t="s">
        <v>113</v>
      </c>
      <c r="I11" s="200">
        <f>+I10*I10</f>
        <v>0</v>
      </c>
      <c r="J11" s="191"/>
      <c r="K11" s="183"/>
      <c r="M11" s="320"/>
      <c r="N11" s="321"/>
      <c r="O11" s="321"/>
      <c r="P11" s="322"/>
    </row>
    <row r="12" spans="3:11" ht="13.5" thickBot="1">
      <c r="C12" s="203" t="s">
        <v>98</v>
      </c>
      <c r="D12" s="194"/>
      <c r="E12" s="194"/>
      <c r="F12" s="194"/>
      <c r="G12" s="194"/>
      <c r="H12" s="294"/>
      <c r="I12" s="20"/>
      <c r="J12" s="191"/>
      <c r="K12" s="183"/>
    </row>
    <row r="13" spans="3:11" ht="15" thickBot="1">
      <c r="C13" s="195" t="s">
        <v>114</v>
      </c>
      <c r="D13" s="196"/>
      <c r="E13" s="196"/>
      <c r="F13" s="196"/>
      <c r="G13" s="293"/>
      <c r="H13" s="295" t="s">
        <v>147</v>
      </c>
      <c r="I13" s="200">
        <v>2</v>
      </c>
      <c r="J13" s="191"/>
      <c r="K13" s="183"/>
    </row>
    <row r="14" spans="3:11" ht="13.5" thickBot="1">
      <c r="C14" s="11"/>
      <c r="D14" s="12"/>
      <c r="E14" s="12"/>
      <c r="F14" s="12"/>
      <c r="G14" s="12"/>
      <c r="H14" s="294" t="s">
        <v>95</v>
      </c>
      <c r="I14" s="202">
        <f>+K9</f>
        <v>0</v>
      </c>
      <c r="J14" s="186" t="s">
        <v>99</v>
      </c>
      <c r="K14" s="187">
        <f>+I13*I14*I15*1/1000000</f>
        <v>0</v>
      </c>
    </row>
    <row r="15" spans="3:11" ht="15" customHeight="1" thickBot="1">
      <c r="C15" s="204"/>
      <c r="D15" s="199"/>
      <c r="E15" s="199"/>
      <c r="F15" s="199"/>
      <c r="G15" s="199"/>
      <c r="H15" s="294" t="s">
        <v>37</v>
      </c>
      <c r="I15" s="200">
        <f>+'C 1 Faktörü'!A51</f>
        <v>0</v>
      </c>
      <c r="J15" s="191"/>
      <c r="K15" s="183"/>
    </row>
    <row r="16" spans="3:11" ht="13.5" thickBot="1">
      <c r="C16" s="192" t="s">
        <v>100</v>
      </c>
      <c r="D16" s="182"/>
      <c r="E16" s="182"/>
      <c r="F16" s="182"/>
      <c r="G16" s="182"/>
      <c r="H16" s="294"/>
      <c r="I16" s="200"/>
      <c r="J16" s="191"/>
      <c r="K16" s="183"/>
    </row>
    <row r="17" spans="3:11" ht="15" thickBot="1">
      <c r="C17" s="195" t="s">
        <v>177</v>
      </c>
      <c r="D17" s="196"/>
      <c r="E17" s="196"/>
      <c r="F17" s="196"/>
      <c r="G17" s="12"/>
      <c r="H17" s="296"/>
      <c r="I17" s="201"/>
      <c r="J17" s="191"/>
      <c r="K17" s="183"/>
    </row>
    <row r="18" spans="3:11" ht="13.5" thickBot="1">
      <c r="C18" s="11"/>
      <c r="D18" s="12"/>
      <c r="E18" s="12"/>
      <c r="F18" s="12"/>
      <c r="G18" s="12"/>
      <c r="H18" s="294" t="s">
        <v>40</v>
      </c>
      <c r="I18" s="200">
        <f>+'C 2 Faktörü'!A51</f>
        <v>0</v>
      </c>
      <c r="J18" s="191"/>
      <c r="K18" s="183"/>
    </row>
    <row r="19" spans="3:11" ht="13.5" thickBot="1">
      <c r="C19" s="11"/>
      <c r="D19" s="12"/>
      <c r="E19" s="12"/>
      <c r="F19" s="12"/>
      <c r="G19" s="12"/>
      <c r="H19" s="294" t="s">
        <v>43</v>
      </c>
      <c r="I19" s="200">
        <f>+'C 3 Faktörü'!A51</f>
        <v>0</v>
      </c>
      <c r="J19" s="186" t="s">
        <v>101</v>
      </c>
      <c r="K19" s="187" t="e">
        <f>5.5/1000/I22</f>
        <v>#DIV/0!</v>
      </c>
    </row>
    <row r="20" spans="3:11" ht="13.5" thickBot="1">
      <c r="C20" s="11"/>
      <c r="D20" s="12"/>
      <c r="E20" s="12"/>
      <c r="F20" s="12"/>
      <c r="G20" s="12"/>
      <c r="H20" s="294" t="s">
        <v>45</v>
      </c>
      <c r="I20" s="200">
        <f>+'C 4 Faktörü'!A51</f>
        <v>0</v>
      </c>
      <c r="J20" s="191"/>
      <c r="K20" s="183"/>
    </row>
    <row r="21" spans="3:11" ht="13.5" thickBot="1">
      <c r="C21" s="11"/>
      <c r="D21" s="12"/>
      <c r="E21" s="12"/>
      <c r="F21" s="12"/>
      <c r="G21" s="12"/>
      <c r="H21" s="294" t="s">
        <v>47</v>
      </c>
      <c r="I21" s="200">
        <f>+'C 5 Faktörü'!A51</f>
        <v>0</v>
      </c>
      <c r="J21" s="191"/>
      <c r="K21" s="183"/>
    </row>
    <row r="22" spans="3:11" ht="13.5" thickBot="1">
      <c r="C22" s="15"/>
      <c r="D22" s="16"/>
      <c r="E22" s="16"/>
      <c r="F22" s="16"/>
      <c r="G22" s="16"/>
      <c r="H22" s="294" t="s">
        <v>149</v>
      </c>
      <c r="I22" s="200">
        <f>+I21*I20*I19*I18</f>
        <v>0</v>
      </c>
      <c r="J22" s="12"/>
      <c r="K22" s="183"/>
    </row>
    <row r="23" spans="3:11" ht="13.5" thickBot="1">
      <c r="C23" s="197" t="s">
        <v>115</v>
      </c>
      <c r="D23" s="9"/>
      <c r="E23" s="9"/>
      <c r="F23" s="9"/>
      <c r="G23" s="9"/>
      <c r="H23" s="9"/>
      <c r="I23" s="10"/>
      <c r="J23" s="12"/>
      <c r="K23" s="183"/>
    </row>
    <row r="24" spans="3:11" ht="12.75">
      <c r="C24" s="362" t="s">
        <v>102</v>
      </c>
      <c r="D24" s="364"/>
      <c r="E24" s="364"/>
      <c r="F24" s="364"/>
      <c r="G24" s="364"/>
      <c r="H24" s="364"/>
      <c r="I24" s="364"/>
      <c r="J24" s="364"/>
      <c r="K24" s="365"/>
    </row>
    <row r="25" spans="3:11" ht="13.5" thickBot="1">
      <c r="C25" s="363" t="s">
        <v>103</v>
      </c>
      <c r="D25" s="366"/>
      <c r="E25" s="366"/>
      <c r="F25" s="366"/>
      <c r="G25" s="366"/>
      <c r="H25" s="366"/>
      <c r="I25" s="366"/>
      <c r="J25" s="366"/>
      <c r="K25" s="367"/>
    </row>
    <row r="27" spans="3:5" ht="15.75">
      <c r="C27" s="338" t="e">
        <f>"E="&amp;M41</f>
        <v>#VALUE!</v>
      </c>
      <c r="E27" s="189"/>
    </row>
    <row r="28" spans="3:5" ht="15.75">
      <c r="C28" s="339">
        <f>+METOD!F3</f>
      </c>
      <c r="D28" s="189"/>
      <c r="E28" s="189"/>
    </row>
    <row r="29" ht="13.5" thickBot="1"/>
    <row r="30" spans="3:7" ht="13.5" thickBot="1">
      <c r="C30" s="185" t="s">
        <v>104</v>
      </c>
      <c r="D30" s="186"/>
      <c r="E30" s="187"/>
      <c r="F30" s="186" t="s">
        <v>105</v>
      </c>
      <c r="G30" s="187"/>
    </row>
    <row r="31" spans="3:7" ht="13.5" thickBot="1">
      <c r="C31" s="185" t="s">
        <v>106</v>
      </c>
      <c r="D31" s="186"/>
      <c r="E31" s="186"/>
      <c r="F31" s="185"/>
      <c r="G31" s="187"/>
    </row>
    <row r="32" spans="3:7" ht="12.75">
      <c r="C32" s="197" t="s">
        <v>141</v>
      </c>
      <c r="D32" s="9"/>
      <c r="E32" s="10"/>
      <c r="F32" s="11" t="s">
        <v>107</v>
      </c>
      <c r="G32" s="183"/>
    </row>
    <row r="33" spans="3:7" ht="12.75">
      <c r="C33" s="184" t="s">
        <v>142</v>
      </c>
      <c r="D33" s="12"/>
      <c r="E33" s="183"/>
      <c r="F33" s="11" t="s">
        <v>108</v>
      </c>
      <c r="G33" s="183"/>
    </row>
    <row r="34" spans="3:7" ht="12.75">
      <c r="C34" s="184" t="s">
        <v>143</v>
      </c>
      <c r="D34" s="12"/>
      <c r="E34" s="183"/>
      <c r="F34" s="11" t="s">
        <v>109</v>
      </c>
      <c r="G34" s="183"/>
    </row>
    <row r="35" spans="3:7" ht="12.75">
      <c r="C35" s="184" t="s">
        <v>144</v>
      </c>
      <c r="D35" s="12"/>
      <c r="E35" s="183"/>
      <c r="F35" s="11" t="s">
        <v>110</v>
      </c>
      <c r="G35" s="183"/>
    </row>
    <row r="36" spans="3:7" ht="12.75">
      <c r="C36" s="184" t="s">
        <v>145</v>
      </c>
      <c r="D36" s="12"/>
      <c r="E36" s="183"/>
      <c r="F36" s="11" t="s">
        <v>140</v>
      </c>
      <c r="G36" s="183"/>
    </row>
    <row r="37" spans="3:7" ht="13.5" thickBot="1">
      <c r="C37" s="188" t="s">
        <v>148</v>
      </c>
      <c r="D37" s="16"/>
      <c r="E37" s="17"/>
      <c r="F37" s="15" t="s">
        <v>146</v>
      </c>
      <c r="G37" s="17"/>
    </row>
    <row r="41" spans="3:13" ht="12.75">
      <c r="C41" t="s">
        <v>111</v>
      </c>
      <c r="M41" s="220" t="e">
        <f>ROUND(+SONUÇ!AC5,3)</f>
        <v>#VALUE!</v>
      </c>
    </row>
  </sheetData>
  <mergeCells count="2">
    <mergeCell ref="C2:K2"/>
    <mergeCell ref="A4:A5"/>
  </mergeCells>
  <printOptions/>
  <pageMargins left="0.75" right="0.75" top="1" bottom="1" header="0.5" footer="0.5"/>
  <pageSetup horizontalDpi="300" verticalDpi="300" orientation="portrait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C4:K23"/>
  <sheetViews>
    <sheetView workbookViewId="0" topLeftCell="D1">
      <selection activeCell="H8" sqref="H8"/>
    </sheetView>
  </sheetViews>
  <sheetFormatPr defaultColWidth="9.140625" defaultRowHeight="12.75"/>
  <cols>
    <col min="11" max="11" width="31.00390625" style="0" bestFit="1" customWidth="1"/>
  </cols>
  <sheetData>
    <row r="4" spans="3:8" ht="12.75">
      <c r="C4" t="s">
        <v>26</v>
      </c>
      <c r="G4" s="1" t="s">
        <v>27</v>
      </c>
      <c r="H4" s="47">
        <f>K5+6*E20*K6+9*E22*K7</f>
        <v>0</v>
      </c>
    </row>
    <row r="5" spans="7:11" ht="12.75">
      <c r="G5" s="3"/>
      <c r="J5" t="s">
        <v>28</v>
      </c>
      <c r="K5" s="52">
        <f>E16*E18</f>
        <v>0</v>
      </c>
    </row>
    <row r="6" spans="3:11" ht="12.75">
      <c r="C6" t="s">
        <v>29</v>
      </c>
      <c r="G6" s="1" t="s">
        <v>30</v>
      </c>
      <c r="H6" s="43">
        <f>H8*H4*K11/1000000</f>
        <v>0</v>
      </c>
      <c r="J6" t="s">
        <v>28</v>
      </c>
      <c r="K6" s="52">
        <f>E16+E18</f>
        <v>0</v>
      </c>
    </row>
    <row r="7" spans="7:11" ht="13.5" thickBot="1">
      <c r="G7" s="3"/>
      <c r="J7" t="s">
        <v>181</v>
      </c>
      <c r="K7" s="53">
        <f>E20*E20</f>
        <v>0</v>
      </c>
    </row>
    <row r="8" spans="3:11" ht="13.5" thickBot="1">
      <c r="C8" t="s">
        <v>32</v>
      </c>
      <c r="G8" s="1" t="s">
        <v>33</v>
      </c>
      <c r="H8" s="47">
        <f>IF(ANASAYFA!H4="",2,ANASAYFA!H4)</f>
        <v>2</v>
      </c>
      <c r="J8" t="s">
        <v>180</v>
      </c>
      <c r="K8" s="49" t="e">
        <f>H10/H6</f>
        <v>#DIV/0!</v>
      </c>
    </row>
    <row r="9" ht="12.75">
      <c r="G9" s="3"/>
    </row>
    <row r="10" spans="3:8" ht="12.75">
      <c r="C10" t="s">
        <v>35</v>
      </c>
      <c r="G10" s="1" t="s">
        <v>36</v>
      </c>
      <c r="H10" s="43">
        <f>IF(H12=0,0,5.5/1000/H12)</f>
        <v>0</v>
      </c>
    </row>
    <row r="11" spans="7:11" ht="12.75">
      <c r="G11" s="3"/>
      <c r="J11" s="4" t="s">
        <v>37</v>
      </c>
      <c r="K11" s="46">
        <f>+'C 1 Faktörü'!A51</f>
        <v>0</v>
      </c>
    </row>
    <row r="12" spans="3:8" ht="12.75">
      <c r="C12" t="s">
        <v>38</v>
      </c>
      <c r="G12" s="1" t="s">
        <v>39</v>
      </c>
      <c r="H12" s="48">
        <f>K13*K15*K17*K19</f>
        <v>0</v>
      </c>
    </row>
    <row r="13" spans="7:11" ht="13.5" thickBot="1">
      <c r="G13" s="3"/>
      <c r="I13" s="1"/>
      <c r="J13" s="4" t="s">
        <v>40</v>
      </c>
      <c r="K13" s="45">
        <f>+'C 2 Faktörü'!A51</f>
        <v>0</v>
      </c>
    </row>
    <row r="14" spans="3:9" ht="13.5" thickBot="1">
      <c r="C14" t="s">
        <v>41</v>
      </c>
      <c r="G14" s="1" t="s">
        <v>42</v>
      </c>
      <c r="H14" s="44">
        <f>IF(H12=0,"",1-K8)</f>
      </c>
      <c r="I14" s="3"/>
    </row>
    <row r="15" spans="9:11" ht="12.75">
      <c r="I15" s="1"/>
      <c r="J15" s="4" t="s">
        <v>43</v>
      </c>
      <c r="K15" s="45">
        <f>+'C 3 Faktörü'!A51</f>
        <v>0</v>
      </c>
    </row>
    <row r="16" spans="4:9" ht="12.75">
      <c r="D16" s="6" t="s">
        <v>44</v>
      </c>
      <c r="E16" s="54">
        <f>ANASAYFA!H5</f>
        <v>0</v>
      </c>
      <c r="I16" s="3"/>
    </row>
    <row r="17" spans="9:11" ht="12.75">
      <c r="I17" s="1"/>
      <c r="J17" s="4" t="s">
        <v>45</v>
      </c>
      <c r="K17" s="45">
        <f>+'C 4 Faktörü'!A51</f>
        <v>0</v>
      </c>
    </row>
    <row r="18" spans="4:9" ht="12.75">
      <c r="D18" s="6" t="s">
        <v>46</v>
      </c>
      <c r="E18" s="54">
        <f>ANASAYFA!H6</f>
        <v>0</v>
      </c>
      <c r="I18" s="3"/>
    </row>
    <row r="19" spans="9:11" ht="12.75">
      <c r="I19" s="1"/>
      <c r="J19" s="4" t="s">
        <v>47</v>
      </c>
      <c r="K19" s="45">
        <f>+'C 5 Faktörü'!A51</f>
        <v>0</v>
      </c>
    </row>
    <row r="20" spans="4:9" ht="13.5" thickBot="1">
      <c r="D20" s="6" t="s">
        <v>48</v>
      </c>
      <c r="E20" s="50">
        <f>ANASAYFA!H7</f>
        <v>0</v>
      </c>
      <c r="I20" s="3"/>
    </row>
    <row r="21" spans="9:11" ht="13.5" thickBot="1">
      <c r="I21" s="1"/>
      <c r="K21" s="344" t="s">
        <v>178</v>
      </c>
    </row>
    <row r="22" spans="4:11" ht="13.5" thickBot="1">
      <c r="D22" s="6" t="s">
        <v>49</v>
      </c>
      <c r="E22" s="51">
        <f>PI()</f>
        <v>3.141592653589793</v>
      </c>
      <c r="I22" s="3"/>
      <c r="K22" s="343">
        <f>+K19*K17*K15*K13*K11</f>
        <v>0</v>
      </c>
    </row>
    <row r="23" ht="12.75">
      <c r="I23" s="1"/>
    </row>
  </sheetData>
  <sheetProtection password="CF7A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</dc:creator>
  <cp:keywords/>
  <dc:description/>
  <cp:lastModifiedBy>Utku Kaynar</cp:lastModifiedBy>
  <cp:lastPrinted>2001-06-07T12:28:40Z</cp:lastPrinted>
  <dcterms:created xsi:type="dcterms:W3CDTF">2000-12-23T04:57:18Z</dcterms:created>
  <dcterms:modified xsi:type="dcterms:W3CDTF">2005-06-16T06:59:38Z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